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588" activeTab="0"/>
  </bookViews>
  <sheets>
    <sheet name="Original Herd" sheetId="1" r:id="rId1"/>
    <sheet name="Alternative 1" sheetId="2" r:id="rId2"/>
    <sheet name="Instructions" sheetId="3" r:id="rId3"/>
    <sheet name="Instructions Alternative Sheet" sheetId="4" r:id="rId4"/>
  </sheets>
  <definedNames/>
  <calcPr fullCalcOnLoad="1"/>
</workbook>
</file>

<file path=xl/comments1.xml><?xml version="1.0" encoding="utf-8"?>
<comments xmlns="http://schemas.openxmlformats.org/spreadsheetml/2006/main">
  <authors>
    <author>Mike McGilliard</author>
  </authors>
  <commentList>
    <comment ref="J28" authorId="0">
      <text>
        <r>
          <rPr>
            <sz val="10"/>
            <rFont val="Tahoma"/>
            <family val="2"/>
          </rPr>
          <t>($/cow/d feed cost)  /  (Lbs fed/cow/d)  /  (ration dry matter % as a fraction)
Example:  $3.00 / 100 lb / .50  = $ .06    (6 cents per lb of dry matter)</t>
        </r>
      </text>
    </comment>
    <comment ref="I51" authorId="0">
      <text>
        <r>
          <rPr>
            <sz val="8"/>
            <rFont val="Tahoma"/>
            <family val="2"/>
          </rPr>
          <t>#turns/(min/turn)</t>
        </r>
        <r>
          <rPr>
            <sz val="8"/>
            <rFont val="Tahoma"/>
            <family val="0"/>
          </rPr>
          <t xml:space="preserve">
Uses half-turns.
So jumps increments of 1/2 parlor size.</t>
        </r>
      </text>
    </comment>
  </commentList>
</comments>
</file>

<file path=xl/comments2.xml><?xml version="1.0" encoding="utf-8"?>
<comments xmlns="http://schemas.openxmlformats.org/spreadsheetml/2006/main">
  <authors>
    <author>Mike McGilliard</author>
  </authors>
  <commentList>
    <comment ref="I51" authorId="0">
      <text>
        <r>
          <rPr>
            <sz val="8"/>
            <rFont val="Tahoma"/>
            <family val="2"/>
          </rPr>
          <t>#turns/(min/turn)</t>
        </r>
        <r>
          <rPr>
            <sz val="8"/>
            <rFont val="Tahoma"/>
            <family val="0"/>
          </rPr>
          <t xml:space="preserve">
Uses half-turns.
So, jumps in increments of 1/2 parlor size.</t>
        </r>
      </text>
    </comment>
    <comment ref="J140" authorId="0">
      <text>
        <r>
          <rPr>
            <b/>
            <sz val="8"/>
            <rFont val="Tahoma"/>
            <family val="0"/>
          </rPr>
          <t>Monthly payment*12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Years = 12 / cull rate</t>
        </r>
      </text>
    </comment>
    <comment ref="J141" authorId="0">
      <text>
        <r>
          <rPr>
            <b/>
            <sz val="8"/>
            <rFont val="Tahoma"/>
            <family val="0"/>
          </rPr>
          <t>Amortized over 5 years, monthly pmts.</t>
        </r>
        <r>
          <rPr>
            <sz val="8"/>
            <rFont val="Tahoma"/>
            <family val="0"/>
          </rPr>
          <t xml:space="preserve">
</t>
        </r>
      </text>
    </comment>
    <comment ref="J28" authorId="0">
      <text>
        <r>
          <rPr>
            <sz val="10"/>
            <rFont val="Tahoma"/>
            <family val="2"/>
          </rPr>
          <t>($/cow/d feed cost)  /  (Lbs fed/cow/d)  /  (ration dry matter % as a fraction)
Example:  $3.00 / 100 lb / .50  = $ .06    (6 cents per lb of dry matter)</t>
        </r>
      </text>
    </comment>
  </commentList>
</comments>
</file>

<file path=xl/sharedStrings.xml><?xml version="1.0" encoding="utf-8"?>
<sst xmlns="http://schemas.openxmlformats.org/spreadsheetml/2006/main" count="512" uniqueCount="179">
  <si>
    <t>Group</t>
  </si>
  <si>
    <t>DMI/d</t>
  </si>
  <si>
    <t>Input</t>
  </si>
  <si>
    <t>Group Input</t>
  </si>
  <si>
    <t>Parlor Input</t>
  </si>
  <si>
    <t>Parlor</t>
  </si>
  <si>
    <t>xmlk/d</t>
  </si>
  <si>
    <t>Output</t>
  </si>
  <si>
    <t>Financial</t>
  </si>
  <si>
    <t>ID</t>
  </si>
  <si>
    <t>Stalls</t>
  </si>
  <si>
    <t>No.</t>
  </si>
  <si>
    <t>Hrs/d</t>
  </si>
  <si>
    <t>Employees</t>
  </si>
  <si>
    <t>No./Mlkng</t>
  </si>
  <si>
    <t>Employee</t>
  </si>
  <si>
    <t>$/hr</t>
  </si>
  <si>
    <t>Milking</t>
  </si>
  <si>
    <t>Supplies</t>
  </si>
  <si>
    <t>$/Cow/Mlkng</t>
  </si>
  <si>
    <t>Groups</t>
  </si>
  <si>
    <t>Identical</t>
  </si>
  <si>
    <t>Size</t>
  </si>
  <si>
    <t>Cow</t>
  </si>
  <si>
    <t>Weight</t>
  </si>
  <si>
    <t>Lbs/Cow</t>
  </si>
  <si>
    <t>Milk</t>
  </si>
  <si>
    <t>Yield</t>
  </si>
  <si>
    <t>Lbs/Cow/d</t>
  </si>
  <si>
    <t>Frequency</t>
  </si>
  <si>
    <t>Throughput</t>
  </si>
  <si>
    <t>Turns/h</t>
  </si>
  <si>
    <t>Feed</t>
  </si>
  <si>
    <t>$/lb</t>
  </si>
  <si>
    <t>Price</t>
  </si>
  <si>
    <t>$/cwt</t>
  </si>
  <si>
    <t>Total</t>
  </si>
  <si>
    <t>Replacement</t>
  </si>
  <si>
    <t>($/Head)</t>
  </si>
  <si>
    <t>Cull Price</t>
  </si>
  <si>
    <t>($/Lb)</t>
  </si>
  <si>
    <t>Cull Rate</t>
  </si>
  <si>
    <t>(%)</t>
  </si>
  <si>
    <t>Summary</t>
  </si>
  <si>
    <t>Cost</t>
  </si>
  <si>
    <t>$/d</t>
  </si>
  <si>
    <t>Labor</t>
  </si>
  <si>
    <t>Expense</t>
  </si>
  <si>
    <t>Per Cow/d</t>
  </si>
  <si>
    <t>Income</t>
  </si>
  <si>
    <t>Net Cash</t>
  </si>
  <si>
    <t>$/yr</t>
  </si>
  <si>
    <t>($/yr)</t>
  </si>
  <si>
    <t>ParlorID</t>
  </si>
  <si>
    <t>Time/group</t>
  </si>
  <si>
    <t>Time</t>
  </si>
  <si>
    <t>Total Parlor</t>
  </si>
  <si>
    <t>Milking Time</t>
  </si>
  <si>
    <t>No. of</t>
  </si>
  <si>
    <t>Turns</t>
  </si>
  <si>
    <t>per Hour</t>
  </si>
  <si>
    <t>Hours</t>
  </si>
  <si>
    <t>for  One</t>
  </si>
  <si>
    <t>Times</t>
  </si>
  <si>
    <t>Milked</t>
  </si>
  <si>
    <t>per day</t>
  </si>
  <si>
    <t xml:space="preserve">Hrs/day </t>
  </si>
  <si>
    <t>Parlor Time Summary</t>
  </si>
  <si>
    <t>Cows</t>
  </si>
  <si>
    <t>Extra Parlor</t>
  </si>
  <si>
    <t>Time Avail.</t>
  </si>
  <si>
    <t>Hrs/day</t>
  </si>
  <si>
    <t>Replacement Input</t>
  </si>
  <si>
    <t>adjusted for Replacements</t>
  </si>
  <si>
    <t>Net Annual</t>
  </si>
  <si>
    <t>Replacement Cost</t>
  </si>
  <si>
    <t>Cull Income</t>
  </si>
  <si>
    <t>Ann. Replacement Cost</t>
  </si>
  <si>
    <t>(Lbs/Head)</t>
  </si>
  <si>
    <t>Annual Cull Income</t>
  </si>
  <si>
    <t>Wtd. Avg. Body Weight</t>
  </si>
  <si>
    <t>Number of Culls</t>
  </si>
  <si>
    <t>(Head/yr)</t>
  </si>
  <si>
    <t>All Groups</t>
  </si>
  <si>
    <t>Herd Annually (per Group)</t>
  </si>
  <si>
    <t>Total (all groups):</t>
  </si>
  <si>
    <t>Dairy Group Size Manager - Original Herd</t>
  </si>
  <si>
    <t xml:space="preserve">Dairy Group Size Manager </t>
  </si>
  <si>
    <t>Alternative 1</t>
  </si>
  <si>
    <t>Original</t>
  </si>
  <si>
    <t>(if different)</t>
  </si>
  <si>
    <t>Hrs/Day</t>
  </si>
  <si>
    <t>Per Group</t>
  </si>
  <si>
    <t>Change in</t>
  </si>
  <si>
    <t>Extra</t>
  </si>
  <si>
    <t>Change</t>
  </si>
  <si>
    <t>Suggested</t>
  </si>
  <si>
    <t>Milk Based</t>
  </si>
  <si>
    <t>on Original</t>
  </si>
  <si>
    <t>Dry Matter</t>
  </si>
  <si>
    <t>2x to 3x</t>
  </si>
  <si>
    <t>3x to 4x</t>
  </si>
  <si>
    <t>4x to 5x</t>
  </si>
  <si>
    <t>(Reverse)</t>
  </si>
  <si>
    <t>Wage+SS</t>
  </si>
  <si>
    <t xml:space="preserve">Original </t>
  </si>
  <si>
    <t>Total #Milking</t>
  </si>
  <si>
    <t>Milk lbs/d</t>
  </si>
  <si>
    <t>Milk Income/d</t>
  </si>
  <si>
    <t>Feed Expense/d</t>
  </si>
  <si>
    <t>Total Expense/d</t>
  </si>
  <si>
    <t>Partial Income/d</t>
  </si>
  <si>
    <t>#Groups</t>
  </si>
  <si>
    <t>Is</t>
  </si>
  <si>
    <t>Was</t>
  </si>
  <si>
    <t>Multiply By</t>
  </si>
  <si>
    <t>Times milked/d</t>
  </si>
  <si>
    <t>Effects of Cow</t>
  </si>
  <si>
    <t>Inventory Changes</t>
  </si>
  <si>
    <t>Cows in Milk</t>
  </si>
  <si>
    <t>Cows Dry</t>
  </si>
  <si>
    <t>Dry Cows</t>
  </si>
  <si>
    <t>Additional Inventory Input</t>
  </si>
  <si>
    <t>Cow Interest</t>
  </si>
  <si>
    <t>(%/yr)</t>
  </si>
  <si>
    <t>Operating Expense</t>
  </si>
  <si>
    <t>($/yr per cow)</t>
  </si>
  <si>
    <t>($/d)</t>
  </si>
  <si>
    <t>(% Dry)</t>
  </si>
  <si>
    <t>Extra Facilities</t>
  </si>
  <si>
    <t>Total Add. Cost/yr</t>
  </si>
  <si>
    <t>No. of Pens</t>
  </si>
  <si>
    <t>New Operating/d</t>
  </si>
  <si>
    <t>New Investment/d</t>
  </si>
  <si>
    <t>Δ/d</t>
  </si>
  <si>
    <t>Δ/yr</t>
  </si>
  <si>
    <t>Total Add. Invest/yr</t>
  </si>
  <si>
    <t>Extra facilities investment</t>
  </si>
  <si>
    <t>Total Partial Net Income</t>
  </si>
  <si>
    <t>Milk cow partial net income</t>
  </si>
  <si>
    <t>Change in new cow costs</t>
  </si>
  <si>
    <t>Change in cow investment</t>
  </si>
  <si>
    <t>Max Parlor Use</t>
  </si>
  <si>
    <t xml:space="preserve">   Effects of Milking Frequencies</t>
  </si>
  <si>
    <t>Replacement$/d</t>
  </si>
  <si>
    <t>Turns/hr Based</t>
  </si>
  <si>
    <t>Use milk at right, adj. for milking frequency?</t>
  </si>
  <si>
    <t>Use turns/hr at rt, adj. for milking frequency?</t>
  </si>
  <si>
    <t>Overview</t>
  </si>
  <si>
    <t>Parlor Output</t>
  </si>
  <si>
    <t>Just keep typing in a cell.  It's set to wrap around</t>
  </si>
  <si>
    <t>Group Milking Output</t>
  </si>
  <si>
    <t>Group Financial Output (per Day)</t>
  </si>
  <si>
    <t>Group Financial Output (per Year)</t>
  </si>
  <si>
    <t>Total Herd Output and Adjustments for Replacements</t>
  </si>
  <si>
    <t>Instructions for Using Alternative Sheet</t>
  </si>
  <si>
    <t>Instructions for Sizing Groups in Original Herd</t>
  </si>
  <si>
    <t>Additional Milking Frequency Input</t>
  </si>
  <si>
    <t>Output for Additional Dry Cows</t>
  </si>
  <si>
    <t>Output for Additional Pens</t>
  </si>
  <si>
    <t>Interpretation of Top Summary Bar</t>
  </si>
  <si>
    <t>Buttons to Copy Data from Original Herd</t>
  </si>
  <si>
    <t>Output Indicators of Change from Original Herd</t>
  </si>
  <si>
    <t>Output for Additional (or fewer) Cows</t>
  </si>
  <si>
    <t>Interpretation of Change on Top Summary Bar</t>
  </si>
  <si>
    <t>5x to 6x</t>
  </si>
  <si>
    <t>Yes</t>
  </si>
  <si>
    <t>Partial Net Cash Income</t>
  </si>
  <si>
    <t>Dry Cow Feeding</t>
  </si>
  <si>
    <t>($/cow)</t>
  </si>
  <si>
    <t>Cows Operating</t>
  </si>
  <si>
    <t>Dry Cows Operating</t>
  </si>
  <si>
    <t>Cow Purchases</t>
  </si>
  <si>
    <t>Extra Costs ($/Year)</t>
  </si>
  <si>
    <t>Extra Investments ($/Year)</t>
  </si>
  <si>
    <t>w/o Clean/Hosp</t>
  </si>
  <si>
    <t>8 Groups of 480, 3X</t>
  </si>
  <si>
    <t>Alternative  7 Groups (480, 2x) + 1 Group (480, 3x) + 1 Group (180, 3x)</t>
  </si>
  <si>
    <t>Parlor Use hr/d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</si>
</sst>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;[Red]#,##0"/>
    <numFmt numFmtId="166" formatCode="&quot;$&quot;#,##0;[Red]&quot;$&quot;#,##0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00_);_(* \(#,##0.000\);_(* &quot;-&quot;??_);_(@_)"/>
    <numFmt numFmtId="173" formatCode="0.00_);\(0.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0_);\(0\)"/>
    <numFmt numFmtId="182" formatCode="_([$€-2]* #,##0.00_);_([$€-2]* \(#,##0.00\);_([$€-2]* &quot;-&quot;??_)"/>
    <numFmt numFmtId="183" formatCode="#,##0.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7"/>
      <name val="Arial"/>
      <family val="0"/>
    </font>
    <font>
      <sz val="8"/>
      <name val="Tahoma"/>
      <family val="0"/>
    </font>
    <font>
      <sz val="10"/>
      <name val="Tahoma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6" fontId="0" fillId="0" borderId="11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42" fontId="0" fillId="0" borderId="0" xfId="44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6" fontId="0" fillId="0" borderId="0" xfId="0" applyNumberFormat="1" applyBorder="1" applyAlignment="1">
      <alignment horizontal="right"/>
    </xf>
    <xf numFmtId="168" fontId="0" fillId="0" borderId="0" xfId="42" applyNumberFormat="1" applyFont="1" applyBorder="1" applyAlignment="1">
      <alignment horizontal="right"/>
    </xf>
    <xf numFmtId="42" fontId="0" fillId="0" borderId="16" xfId="44" applyNumberFormat="1" applyFont="1" applyBorder="1" applyAlignment="1">
      <alignment/>
    </xf>
    <xf numFmtId="44" fontId="0" fillId="0" borderId="10" xfId="44" applyFont="1" applyBorder="1" applyAlignment="1">
      <alignment horizontal="right"/>
    </xf>
    <xf numFmtId="44" fontId="0" fillId="0" borderId="16" xfId="44" applyFont="1" applyBorder="1" applyAlignment="1">
      <alignment horizontal="right"/>
    </xf>
    <xf numFmtId="42" fontId="0" fillId="0" borderId="10" xfId="44" applyNumberFormat="1" applyFont="1" applyBorder="1" applyAlignment="1">
      <alignment/>
    </xf>
    <xf numFmtId="37" fontId="0" fillId="0" borderId="17" xfId="44" applyNumberFormat="1" applyFont="1" applyBorder="1" applyAlignment="1">
      <alignment horizontal="right"/>
    </xf>
    <xf numFmtId="42" fontId="0" fillId="0" borderId="18" xfId="44" applyNumberFormat="1" applyFont="1" applyBorder="1" applyAlignment="1">
      <alignment/>
    </xf>
    <xf numFmtId="42" fontId="0" fillId="0" borderId="19" xfId="44" applyNumberFormat="1" applyFont="1" applyBorder="1" applyAlignment="1">
      <alignment horizontal="right"/>
    </xf>
    <xf numFmtId="44" fontId="0" fillId="0" borderId="14" xfId="44" applyFont="1" applyBorder="1" applyAlignment="1">
      <alignment horizontal="right"/>
    </xf>
    <xf numFmtId="42" fontId="0" fillId="0" borderId="14" xfId="44" applyNumberFormat="1" applyFont="1" applyBorder="1" applyAlignment="1">
      <alignment/>
    </xf>
    <xf numFmtId="43" fontId="0" fillId="0" borderId="11" xfId="42" applyFont="1" applyBorder="1" applyAlignment="1">
      <alignment horizontal="right"/>
    </xf>
    <xf numFmtId="43" fontId="0" fillId="0" borderId="0" xfId="42" applyFont="1" applyBorder="1" applyAlignment="1">
      <alignment horizontal="right"/>
    </xf>
    <xf numFmtId="43" fontId="0" fillId="0" borderId="20" xfId="42" applyFont="1" applyBorder="1" applyAlignment="1">
      <alignment horizontal="right"/>
    </xf>
    <xf numFmtId="43" fontId="0" fillId="0" borderId="13" xfId="42" applyFont="1" applyBorder="1" applyAlignment="1">
      <alignment horizontal="right"/>
    </xf>
    <xf numFmtId="43" fontId="0" fillId="0" borderId="12" xfId="42" applyFont="1" applyBorder="1" applyAlignment="1">
      <alignment horizontal="right"/>
    </xf>
    <xf numFmtId="43" fontId="0" fillId="0" borderId="21" xfId="42" applyFont="1" applyBorder="1" applyAlignment="1">
      <alignment horizontal="right"/>
    </xf>
    <xf numFmtId="43" fontId="0" fillId="0" borderId="0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6" xfId="42" applyFont="1" applyBorder="1" applyAlignment="1">
      <alignment/>
    </xf>
    <xf numFmtId="168" fontId="0" fillId="0" borderId="10" xfId="42" applyNumberFormat="1" applyFont="1" applyBorder="1" applyAlignment="1">
      <alignment horizontal="right"/>
    </xf>
    <xf numFmtId="168" fontId="0" fillId="0" borderId="10" xfId="42" applyNumberFormat="1" applyFont="1" applyBorder="1" applyAlignment="1">
      <alignment/>
    </xf>
    <xf numFmtId="168" fontId="0" fillId="0" borderId="10" xfId="42" applyNumberFormat="1" applyFont="1" applyFill="1" applyBorder="1" applyAlignment="1">
      <alignment horizontal="right"/>
    </xf>
    <xf numFmtId="168" fontId="0" fillId="0" borderId="0" xfId="42" applyNumberFormat="1" applyFont="1" applyBorder="1" applyAlignment="1">
      <alignment/>
    </xf>
    <xf numFmtId="168" fontId="0" fillId="0" borderId="0" xfId="42" applyNumberFormat="1" applyFont="1" applyFill="1" applyBorder="1" applyAlignment="1">
      <alignment horizontal="right"/>
    </xf>
    <xf numFmtId="168" fontId="0" fillId="0" borderId="12" xfId="42" applyNumberFormat="1" applyFont="1" applyBorder="1" applyAlignment="1">
      <alignment horizontal="right"/>
    </xf>
    <xf numFmtId="168" fontId="0" fillId="0" borderId="12" xfId="42" applyNumberFormat="1" applyFont="1" applyBorder="1" applyAlignment="1">
      <alignment/>
    </xf>
    <xf numFmtId="168" fontId="0" fillId="0" borderId="12" xfId="42" applyNumberFormat="1" applyFont="1" applyFill="1" applyBorder="1" applyAlignment="1">
      <alignment horizontal="right"/>
    </xf>
    <xf numFmtId="167" fontId="0" fillId="0" borderId="14" xfId="42" applyNumberFormat="1" applyFont="1" applyBorder="1" applyAlignment="1">
      <alignment/>
    </xf>
    <xf numFmtId="167" fontId="0" fillId="0" borderId="16" xfId="42" applyNumberFormat="1" applyFont="1" applyBorder="1" applyAlignment="1">
      <alignment/>
    </xf>
    <xf numFmtId="167" fontId="0" fillId="0" borderId="11" xfId="42" applyNumberFormat="1" applyFont="1" applyBorder="1" applyAlignment="1">
      <alignment/>
    </xf>
    <xf numFmtId="167" fontId="0" fillId="0" borderId="20" xfId="42" applyNumberFormat="1" applyFont="1" applyBorder="1" applyAlignment="1">
      <alignment/>
    </xf>
    <xf numFmtId="167" fontId="0" fillId="0" borderId="13" xfId="42" applyNumberFormat="1" applyFont="1" applyBorder="1" applyAlignment="1">
      <alignment/>
    </xf>
    <xf numFmtId="167" fontId="0" fillId="0" borderId="21" xfId="42" applyNumberFormat="1" applyFont="1" applyBorder="1" applyAlignment="1">
      <alignment/>
    </xf>
    <xf numFmtId="168" fontId="0" fillId="0" borderId="18" xfId="42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43" fontId="7" fillId="0" borderId="0" xfId="42" applyFont="1" applyBorder="1" applyAlignment="1">
      <alignment horizontal="right"/>
    </xf>
    <xf numFmtId="171" fontId="0" fillId="0" borderId="18" xfId="44" applyNumberFormat="1" applyFont="1" applyBorder="1" applyAlignment="1">
      <alignment/>
    </xf>
    <xf numFmtId="42" fontId="0" fillId="0" borderId="17" xfId="44" applyNumberFormat="1" applyFont="1" applyBorder="1" applyAlignment="1">
      <alignment/>
    </xf>
    <xf numFmtId="0" fontId="0" fillId="0" borderId="18" xfId="0" applyBorder="1" applyAlignment="1">
      <alignment/>
    </xf>
    <xf numFmtId="42" fontId="0" fillId="0" borderId="19" xfId="44" applyNumberFormat="1" applyFont="1" applyBorder="1" applyAlignment="1">
      <alignment/>
    </xf>
    <xf numFmtId="168" fontId="0" fillId="0" borderId="11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20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8" fontId="0" fillId="0" borderId="12" xfId="42" applyNumberFormat="1" applyFont="1" applyBorder="1" applyAlignment="1">
      <alignment/>
    </xf>
    <xf numFmtId="168" fontId="0" fillId="0" borderId="21" xfId="42" applyNumberFormat="1" applyFont="1" applyBorder="1" applyAlignment="1">
      <alignment/>
    </xf>
    <xf numFmtId="168" fontId="7" fillId="0" borderId="0" xfId="42" applyNumberFormat="1" applyFont="1" applyBorder="1" applyAlignment="1">
      <alignment horizontal="right"/>
    </xf>
    <xf numFmtId="168" fontId="0" fillId="0" borderId="14" xfId="42" applyNumberFormat="1" applyFont="1" applyBorder="1" applyAlignment="1">
      <alignment horizontal="right"/>
    </xf>
    <xf numFmtId="168" fontId="0" fillId="0" borderId="11" xfId="42" applyNumberFormat="1" applyFont="1" applyBorder="1" applyAlignment="1">
      <alignment horizontal="right"/>
    </xf>
    <xf numFmtId="168" fontId="0" fillId="0" borderId="13" xfId="42" applyNumberFormat="1" applyFont="1" applyBorder="1" applyAlignment="1">
      <alignment horizontal="right"/>
    </xf>
    <xf numFmtId="168" fontId="0" fillId="0" borderId="14" xfId="42" applyNumberFormat="1" applyFont="1" applyBorder="1" applyAlignment="1">
      <alignment/>
    </xf>
    <xf numFmtId="168" fontId="0" fillId="0" borderId="11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0" fontId="8" fillId="0" borderId="0" xfId="0" applyFont="1" applyAlignment="1">
      <alignment/>
    </xf>
    <xf numFmtId="168" fontId="0" fillId="0" borderId="14" xfId="42" applyNumberFormat="1" applyBorder="1" applyAlignment="1">
      <alignment horizontal="right"/>
    </xf>
    <xf numFmtId="168" fontId="0" fillId="0" borderId="11" xfId="42" applyNumberFormat="1" applyBorder="1" applyAlignment="1">
      <alignment horizontal="right"/>
    </xf>
    <xf numFmtId="168" fontId="0" fillId="0" borderId="13" xfId="42" applyNumberFormat="1" applyBorder="1" applyAlignment="1">
      <alignment horizontal="right"/>
    </xf>
    <xf numFmtId="168" fontId="0" fillId="0" borderId="0" xfId="42" applyNumberFormat="1" applyBorder="1" applyAlignment="1">
      <alignment horizontal="right"/>
    </xf>
    <xf numFmtId="168" fontId="0" fillId="0" borderId="10" xfId="42" applyNumberFormat="1" applyBorder="1" applyAlignment="1">
      <alignment horizontal="right"/>
    </xf>
    <xf numFmtId="168" fontId="0" fillId="0" borderId="0" xfId="42" applyNumberFormat="1" applyBorder="1" applyAlignment="1">
      <alignment/>
    </xf>
    <xf numFmtId="168" fontId="0" fillId="0" borderId="0" xfId="42" applyNumberFormat="1" applyFill="1" applyBorder="1" applyAlignment="1">
      <alignment horizontal="right"/>
    </xf>
    <xf numFmtId="168" fontId="0" fillId="0" borderId="12" xfId="42" applyNumberFormat="1" applyBorder="1" applyAlignment="1">
      <alignment horizontal="right"/>
    </xf>
    <xf numFmtId="168" fontId="0" fillId="0" borderId="12" xfId="42" applyNumberFormat="1" applyBorder="1" applyAlignment="1">
      <alignment/>
    </xf>
    <xf numFmtId="168" fontId="0" fillId="0" borderId="12" xfId="42" applyNumberFormat="1" applyFill="1" applyBorder="1" applyAlignment="1">
      <alignment horizontal="right"/>
    </xf>
    <xf numFmtId="167" fontId="0" fillId="0" borderId="16" xfId="42" applyNumberFormat="1" applyBorder="1" applyAlignment="1">
      <alignment/>
    </xf>
    <xf numFmtId="167" fontId="0" fillId="0" borderId="20" xfId="42" applyNumberFormat="1" applyBorder="1" applyAlignment="1">
      <alignment/>
    </xf>
    <xf numFmtId="167" fontId="0" fillId="0" borderId="21" xfId="42" applyNumberFormat="1" applyBorder="1" applyAlignment="1">
      <alignment/>
    </xf>
    <xf numFmtId="42" fontId="0" fillId="0" borderId="14" xfId="44" applyNumberFormat="1" applyBorder="1" applyAlignment="1">
      <alignment/>
    </xf>
    <xf numFmtId="42" fontId="0" fillId="0" borderId="10" xfId="44" applyNumberFormat="1" applyBorder="1" applyAlignment="1">
      <alignment/>
    </xf>
    <xf numFmtId="42" fontId="0" fillId="0" borderId="16" xfId="44" applyNumberFormat="1" applyBorder="1" applyAlignment="1">
      <alignment/>
    </xf>
    <xf numFmtId="168" fontId="0" fillId="0" borderId="11" xfId="42" applyNumberFormat="1" applyBorder="1" applyAlignment="1">
      <alignment/>
    </xf>
    <xf numFmtId="168" fontId="0" fillId="0" borderId="0" xfId="42" applyNumberFormat="1" applyBorder="1" applyAlignment="1">
      <alignment/>
    </xf>
    <xf numFmtId="168" fontId="0" fillId="0" borderId="20" xfId="42" applyNumberFormat="1" applyBorder="1" applyAlignment="1">
      <alignment/>
    </xf>
    <xf numFmtId="168" fontId="0" fillId="0" borderId="13" xfId="42" applyNumberFormat="1" applyBorder="1" applyAlignment="1">
      <alignment/>
    </xf>
    <xf numFmtId="168" fontId="0" fillId="0" borderId="12" xfId="42" applyNumberFormat="1" applyBorder="1" applyAlignment="1">
      <alignment/>
    </xf>
    <xf numFmtId="168" fontId="0" fillId="0" borderId="21" xfId="42" applyNumberFormat="1" applyBorder="1" applyAlignment="1">
      <alignment/>
    </xf>
    <xf numFmtId="42" fontId="0" fillId="0" borderId="0" xfId="44" applyNumberFormat="1" applyAlignment="1">
      <alignment/>
    </xf>
    <xf numFmtId="42" fontId="0" fillId="0" borderId="18" xfId="44" applyNumberFormat="1" applyBorder="1" applyAlignment="1">
      <alignment/>
    </xf>
    <xf numFmtId="42" fontId="0" fillId="0" borderId="19" xfId="44" applyNumberFormat="1" applyBorder="1" applyAlignment="1">
      <alignment/>
    </xf>
    <xf numFmtId="42" fontId="0" fillId="0" borderId="17" xfId="44" applyNumberFormat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2" fontId="11" fillId="0" borderId="0" xfId="0" applyNumberFormat="1" applyFont="1" applyAlignment="1">
      <alignment/>
    </xf>
    <xf numFmtId="43" fontId="11" fillId="0" borderId="0" xfId="42" applyFont="1" applyAlignment="1">
      <alignment/>
    </xf>
    <xf numFmtId="0" fontId="10" fillId="0" borderId="0" xfId="0" applyFont="1" applyBorder="1" applyAlignment="1">
      <alignment horizontal="right"/>
    </xf>
    <xf numFmtId="44" fontId="11" fillId="0" borderId="0" xfId="0" applyNumberFormat="1" applyFont="1" applyAlignment="1">
      <alignment/>
    </xf>
    <xf numFmtId="168" fontId="11" fillId="0" borderId="0" xfId="42" applyNumberFormat="1" applyFont="1" applyBorder="1" applyAlignment="1">
      <alignment horizontal="right"/>
    </xf>
    <xf numFmtId="164" fontId="10" fillId="0" borderId="0" xfId="0" applyNumberFormat="1" applyFont="1" applyBorder="1" applyAlignment="1">
      <alignment/>
    </xf>
    <xf numFmtId="168" fontId="11" fillId="0" borderId="0" xfId="42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168" fontId="4" fillId="0" borderId="15" xfId="42" applyNumberFormat="1" applyFont="1" applyBorder="1" applyAlignment="1">
      <alignment horizontal="right"/>
    </xf>
    <xf numFmtId="168" fontId="4" fillId="0" borderId="22" xfId="42" applyNumberFormat="1" applyFont="1" applyBorder="1" applyAlignment="1">
      <alignment horizontal="right"/>
    </xf>
    <xf numFmtId="43" fontId="0" fillId="0" borderId="0" xfId="42" applyFont="1" applyAlignment="1">
      <alignment/>
    </xf>
    <xf numFmtId="168" fontId="4" fillId="0" borderId="23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167" fontId="11" fillId="0" borderId="0" xfId="42" applyNumberFormat="1" applyFont="1" applyFill="1" applyAlignment="1" quotePrefix="1">
      <alignment/>
    </xf>
    <xf numFmtId="168" fontId="11" fillId="0" borderId="0" xfId="42" applyNumberFormat="1" applyFont="1" applyAlignment="1">
      <alignment/>
    </xf>
    <xf numFmtId="8" fontId="10" fillId="0" borderId="0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right"/>
    </xf>
    <xf numFmtId="164" fontId="10" fillId="0" borderId="23" xfId="0" applyNumberFormat="1" applyFont="1" applyBorder="1" applyAlignment="1">
      <alignment/>
    </xf>
    <xf numFmtId="168" fontId="11" fillId="0" borderId="23" xfId="42" applyNumberFormat="1" applyFont="1" applyBorder="1" applyAlignment="1">
      <alignment/>
    </xf>
    <xf numFmtId="168" fontId="11" fillId="0" borderId="12" xfId="42" applyNumberFormat="1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1" fillId="0" borderId="0" xfId="0" applyFont="1" applyAlignment="1">
      <alignment/>
    </xf>
    <xf numFmtId="1" fontId="0" fillId="33" borderId="19" xfId="0" applyNumberFormat="1" applyFont="1" applyFill="1" applyBorder="1" applyAlignment="1">
      <alignment horizontal="center"/>
    </xf>
    <xf numFmtId="3" fontId="0" fillId="33" borderId="19" xfId="0" applyNumberFormat="1" applyFont="1" applyFill="1" applyBorder="1" applyAlignment="1">
      <alignment horizontal="center"/>
    </xf>
    <xf numFmtId="169" fontId="0" fillId="33" borderId="19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169" fontId="10" fillId="0" borderId="19" xfId="0" applyNumberFormat="1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169" fontId="12" fillId="0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168" fontId="15" fillId="0" borderId="0" xfId="42" applyNumberFormat="1" applyFont="1" applyAlignment="1">
      <alignment/>
    </xf>
    <xf numFmtId="0" fontId="0" fillId="0" borderId="21" xfId="0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8" fontId="0" fillId="34" borderId="0" xfId="0" applyNumberFormat="1" applyFill="1" applyBorder="1" applyAlignment="1">
      <alignment horizontal="right"/>
    </xf>
    <xf numFmtId="0" fontId="4" fillId="35" borderId="14" xfId="0" applyFont="1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20" xfId="0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0" fontId="0" fillId="35" borderId="21" xfId="0" applyFill="1" applyBorder="1" applyAlignment="1">
      <alignment horizontal="right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left"/>
    </xf>
    <xf numFmtId="0" fontId="15" fillId="34" borderId="14" xfId="0" applyFont="1" applyFill="1" applyBorder="1" applyAlignment="1">
      <alignment horizontal="left"/>
    </xf>
    <xf numFmtId="8" fontId="0" fillId="34" borderId="10" xfId="0" applyNumberFormat="1" applyFill="1" applyBorder="1" applyAlignment="1">
      <alignment horizontal="right"/>
    </xf>
    <xf numFmtId="0" fontId="15" fillId="34" borderId="13" xfId="0" applyFont="1" applyFill="1" applyBorder="1" applyAlignment="1">
      <alignment horizontal="left"/>
    </xf>
    <xf numFmtId="8" fontId="0" fillId="34" borderId="12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1" fontId="11" fillId="0" borderId="0" xfId="42" applyNumberFormat="1" applyFont="1" applyAlignment="1">
      <alignment horizontal="center"/>
    </xf>
    <xf numFmtId="16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8" fontId="10" fillId="0" borderId="0" xfId="42" applyNumberFormat="1" applyFont="1" applyAlignment="1">
      <alignment/>
    </xf>
    <xf numFmtId="168" fontId="10" fillId="0" borderId="12" xfId="42" applyNumberFormat="1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5" xfId="0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0" fontId="0" fillId="0" borderId="13" xfId="0" applyBorder="1" applyAlignment="1">
      <alignment/>
    </xf>
    <xf numFmtId="37" fontId="0" fillId="0" borderId="20" xfId="0" applyNumberFormat="1" applyFill="1" applyBorder="1" applyAlignment="1">
      <alignment/>
    </xf>
    <xf numFmtId="168" fontId="0" fillId="0" borderId="20" xfId="42" applyNumberFormat="1" applyFont="1" applyBorder="1" applyAlignment="1">
      <alignment/>
    </xf>
    <xf numFmtId="168" fontId="0" fillId="0" borderId="21" xfId="0" applyNumberFormat="1" applyBorder="1" applyAlignment="1">
      <alignment/>
    </xf>
    <xf numFmtId="0" fontId="0" fillId="0" borderId="22" xfId="0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/>
    </xf>
    <xf numFmtId="168" fontId="0" fillId="0" borderId="21" xfId="42" applyNumberFormat="1" applyFont="1" applyBorder="1" applyAlignment="1">
      <alignment/>
    </xf>
    <xf numFmtId="168" fontId="0" fillId="0" borderId="22" xfId="0" applyNumberFormat="1" applyBorder="1" applyAlignment="1">
      <alignment/>
    </xf>
    <xf numFmtId="0" fontId="0" fillId="0" borderId="15" xfId="0" applyBorder="1" applyAlignment="1">
      <alignment/>
    </xf>
    <xf numFmtId="168" fontId="10" fillId="0" borderId="23" xfId="42" applyNumberFormat="1" applyFont="1" applyBorder="1" applyAlignment="1">
      <alignment/>
    </xf>
    <xf numFmtId="0" fontId="0" fillId="35" borderId="14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3" fillId="35" borderId="14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1" xfId="0" applyFont="1" applyFill="1" applyBorder="1" applyAlignment="1">
      <alignment/>
    </xf>
    <xf numFmtId="0" fontId="0" fillId="35" borderId="20" xfId="0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0" fillId="35" borderId="0" xfId="0" applyFill="1" applyAlignment="1">
      <alignment horizontal="right"/>
    </xf>
    <xf numFmtId="0" fontId="0" fillId="35" borderId="13" xfId="0" applyFill="1" applyBorder="1" applyAlignment="1">
      <alignment horizontal="right"/>
    </xf>
    <xf numFmtId="164" fontId="4" fillId="35" borderId="13" xfId="0" applyNumberFormat="1" applyFont="1" applyFill="1" applyBorder="1" applyAlignment="1">
      <alignment horizontal="right"/>
    </xf>
    <xf numFmtId="0" fontId="4" fillId="35" borderId="21" xfId="0" applyFont="1" applyFill="1" applyBorder="1" applyAlignment="1">
      <alignment horizontal="right"/>
    </xf>
    <xf numFmtId="0" fontId="0" fillId="35" borderId="14" xfId="0" applyFill="1" applyBorder="1" applyAlignment="1">
      <alignment horizontal="right"/>
    </xf>
    <xf numFmtId="3" fontId="0" fillId="35" borderId="16" xfId="0" applyNumberFormat="1" applyFill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3" fontId="0" fillId="35" borderId="20" xfId="0" applyNumberFormat="1" applyFill="1" applyBorder="1" applyAlignment="1">
      <alignment horizontal="right"/>
    </xf>
    <xf numFmtId="0" fontId="6" fillId="35" borderId="0" xfId="0" applyFont="1" applyFill="1" applyAlignment="1">
      <alignment horizontal="left"/>
    </xf>
    <xf numFmtId="164" fontId="0" fillId="35" borderId="0" xfId="0" applyNumberForma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1" fontId="11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171" fontId="11" fillId="0" borderId="10" xfId="44" applyNumberFormat="1" applyFont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6" fillId="35" borderId="15" xfId="0" applyFont="1" applyFill="1" applyBorder="1" applyAlignment="1">
      <alignment/>
    </xf>
    <xf numFmtId="0" fontId="0" fillId="35" borderId="23" xfId="0" applyFill="1" applyBorder="1" applyAlignment="1">
      <alignment/>
    </xf>
    <xf numFmtId="0" fontId="11" fillId="35" borderId="23" xfId="0" applyFont="1" applyFill="1" applyBorder="1" applyAlignment="1">
      <alignment horizontal="right"/>
    </xf>
    <xf numFmtId="0" fontId="0" fillId="35" borderId="15" xfId="0" applyFill="1" applyBorder="1" applyAlignment="1">
      <alignment horizontal="left"/>
    </xf>
    <xf numFmtId="0" fontId="0" fillId="35" borderId="23" xfId="0" applyFill="1" applyBorder="1" applyAlignment="1">
      <alignment horizontal="center"/>
    </xf>
    <xf numFmtId="171" fontId="11" fillId="35" borderId="23" xfId="0" applyNumberFormat="1" applyFont="1" applyFill="1" applyBorder="1" applyAlignment="1">
      <alignment/>
    </xf>
    <xf numFmtId="1" fontId="12" fillId="35" borderId="24" xfId="0" applyNumberFormat="1" applyFont="1" applyFill="1" applyBorder="1" applyAlignment="1">
      <alignment horizontal="center"/>
    </xf>
    <xf numFmtId="3" fontId="12" fillId="35" borderId="24" xfId="0" applyNumberFormat="1" applyFont="1" applyFill="1" applyBorder="1" applyAlignment="1">
      <alignment horizontal="center"/>
    </xf>
    <xf numFmtId="3" fontId="12" fillId="35" borderId="19" xfId="0" applyNumberFormat="1" applyFont="1" applyFill="1" applyBorder="1" applyAlignment="1">
      <alignment horizontal="center"/>
    </xf>
    <xf numFmtId="0" fontId="0" fillId="35" borderId="24" xfId="0" applyFill="1" applyBorder="1" applyAlignment="1">
      <alignment horizontal="right"/>
    </xf>
    <xf numFmtId="171" fontId="0" fillId="0" borderId="17" xfId="44" applyNumberFormat="1" applyFont="1" applyBorder="1" applyAlignment="1">
      <alignment/>
    </xf>
    <xf numFmtId="168" fontId="0" fillId="0" borderId="18" xfId="42" applyNumberFormat="1" applyFon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71" fontId="0" fillId="35" borderId="24" xfId="0" applyNumberFormat="1" applyFill="1" applyBorder="1" applyAlignment="1">
      <alignment/>
    </xf>
    <xf numFmtId="171" fontId="11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center"/>
    </xf>
    <xf numFmtId="167" fontId="0" fillId="0" borderId="10" xfId="42" applyNumberFormat="1" applyFont="1" applyFill="1" applyBorder="1" applyAlignment="1">
      <alignment horizontal="right"/>
    </xf>
    <xf numFmtId="167" fontId="0" fillId="0" borderId="0" xfId="42" applyNumberFormat="1" applyFont="1" applyFill="1" applyBorder="1" applyAlignment="1">
      <alignment horizontal="right"/>
    </xf>
    <xf numFmtId="167" fontId="0" fillId="0" borderId="12" xfId="42" applyNumberFormat="1" applyFont="1" applyFill="1" applyBorder="1" applyAlignment="1">
      <alignment horizontal="right"/>
    </xf>
    <xf numFmtId="167" fontId="0" fillId="0" borderId="10" xfId="42" applyNumberFormat="1" applyFont="1" applyBorder="1" applyAlignment="1">
      <alignment horizontal="right"/>
    </xf>
    <xf numFmtId="167" fontId="0" fillId="0" borderId="0" xfId="42" applyNumberFormat="1" applyFont="1" applyBorder="1" applyAlignment="1">
      <alignment horizontal="right"/>
    </xf>
    <xf numFmtId="167" fontId="0" fillId="0" borderId="12" xfId="42" applyNumberFormat="1" applyFont="1" applyBorder="1" applyAlignment="1">
      <alignment horizontal="right"/>
    </xf>
    <xf numFmtId="0" fontId="15" fillId="34" borderId="10" xfId="0" applyFont="1" applyFill="1" applyBorder="1" applyAlignment="1">
      <alignment horizontal="left"/>
    </xf>
    <xf numFmtId="0" fontId="15" fillId="34" borderId="12" xfId="0" applyFont="1" applyFill="1" applyBorder="1" applyAlignment="1">
      <alignment horizontal="left"/>
    </xf>
    <xf numFmtId="167" fontId="15" fillId="0" borderId="0" xfId="42" applyNumberFormat="1" applyFont="1" applyAlignment="1">
      <alignment/>
    </xf>
    <xf numFmtId="167" fontId="0" fillId="0" borderId="0" xfId="42" applyNumberFormat="1" applyFill="1" applyBorder="1" applyAlignment="1">
      <alignment horizontal="right"/>
    </xf>
    <xf numFmtId="167" fontId="0" fillId="0" borderId="12" xfId="42" applyNumberFormat="1" applyFill="1" applyBorder="1" applyAlignment="1">
      <alignment horizontal="right"/>
    </xf>
    <xf numFmtId="183" fontId="12" fillId="35" borderId="24" xfId="0" applyNumberFormat="1" applyFont="1" applyFill="1" applyBorder="1" applyAlignment="1">
      <alignment horizontal="center"/>
    </xf>
    <xf numFmtId="167" fontId="0" fillId="0" borderId="0" xfId="42" applyNumberFormat="1" applyFont="1" applyBorder="1" applyAlignment="1" applyProtection="1">
      <alignment horizontal="right"/>
      <protection/>
    </xf>
    <xf numFmtId="167" fontId="0" fillId="0" borderId="12" xfId="42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7" fontId="0" fillId="0" borderId="0" xfId="42" applyNumberFormat="1" applyFont="1" applyBorder="1" applyAlignment="1">
      <alignment/>
    </xf>
    <xf numFmtId="0" fontId="0" fillId="35" borderId="12" xfId="0" applyFont="1" applyFill="1" applyBorder="1" applyAlignment="1">
      <alignment horizontal="right"/>
    </xf>
    <xf numFmtId="167" fontId="0" fillId="0" borderId="12" xfId="42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173" fontId="7" fillId="0" borderId="12" xfId="42" applyNumberFormat="1" applyFont="1" applyBorder="1" applyAlignment="1" applyProtection="1" quotePrefix="1">
      <alignment horizontal="center"/>
      <protection locked="0"/>
    </xf>
    <xf numFmtId="0" fontId="12" fillId="34" borderId="10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8" fontId="7" fillId="0" borderId="10" xfId="42" applyNumberFormat="1" applyFont="1" applyBorder="1" applyAlignment="1" applyProtection="1">
      <alignment horizontal="right"/>
      <protection locked="0"/>
    </xf>
    <xf numFmtId="43" fontId="7" fillId="0" borderId="10" xfId="42" applyFont="1" applyBorder="1" applyAlignment="1" applyProtection="1">
      <alignment horizontal="right"/>
      <protection locked="0"/>
    </xf>
    <xf numFmtId="167" fontId="7" fillId="0" borderId="10" xfId="42" applyNumberFormat="1" applyFont="1" applyBorder="1" applyAlignment="1" applyProtection="1">
      <alignment horizontal="right"/>
      <protection locked="0"/>
    </xf>
    <xf numFmtId="44" fontId="7" fillId="0" borderId="10" xfId="44" applyFont="1" applyBorder="1" applyAlignment="1" applyProtection="1">
      <alignment horizontal="right"/>
      <protection locked="0"/>
    </xf>
    <xf numFmtId="44" fontId="7" fillId="0" borderId="16" xfId="44" applyFont="1" applyBorder="1" applyAlignment="1" applyProtection="1">
      <alignment horizontal="right"/>
      <protection locked="0"/>
    </xf>
    <xf numFmtId="168" fontId="7" fillId="0" borderId="0" xfId="42" applyNumberFormat="1" applyFont="1" applyBorder="1" applyAlignment="1" applyProtection="1">
      <alignment horizontal="right"/>
      <protection locked="0"/>
    </xf>
    <xf numFmtId="43" fontId="7" fillId="0" borderId="0" xfId="42" applyFont="1" applyBorder="1" applyAlignment="1" applyProtection="1">
      <alignment horizontal="right"/>
      <protection locked="0"/>
    </xf>
    <xf numFmtId="167" fontId="7" fillId="0" borderId="0" xfId="42" applyNumberFormat="1" applyFont="1" applyBorder="1" applyAlignment="1" applyProtection="1">
      <alignment horizontal="right"/>
      <protection locked="0"/>
    </xf>
    <xf numFmtId="43" fontId="7" fillId="0" borderId="20" xfId="42" applyFont="1" applyBorder="1" applyAlignment="1" applyProtection="1">
      <alignment horizontal="right"/>
      <protection locked="0"/>
    </xf>
    <xf numFmtId="168" fontId="7" fillId="0" borderId="12" xfId="42" applyNumberFormat="1" applyFont="1" applyBorder="1" applyAlignment="1" applyProtection="1">
      <alignment horizontal="right"/>
      <protection locked="0"/>
    </xf>
    <xf numFmtId="43" fontId="7" fillId="0" borderId="12" xfId="42" applyFont="1" applyBorder="1" applyAlignment="1" applyProtection="1">
      <alignment horizontal="right"/>
      <protection locked="0"/>
    </xf>
    <xf numFmtId="43" fontId="7" fillId="0" borderId="21" xfId="42" applyFont="1" applyBorder="1" applyAlignment="1" applyProtection="1">
      <alignment horizontal="right"/>
      <protection locked="0"/>
    </xf>
    <xf numFmtId="42" fontId="7" fillId="0" borderId="16" xfId="44" applyNumberFormat="1" applyFont="1" applyBorder="1" applyAlignment="1" applyProtection="1">
      <alignment/>
      <protection locked="0"/>
    </xf>
    <xf numFmtId="44" fontId="7" fillId="0" borderId="20" xfId="44" applyFont="1" applyBorder="1" applyAlignment="1" applyProtection="1">
      <alignment horizontal="right"/>
      <protection locked="0"/>
    </xf>
    <xf numFmtId="9" fontId="7" fillId="0" borderId="21" xfId="60" applyFont="1" applyBorder="1" applyAlignment="1" applyProtection="1">
      <alignment horizontal="right"/>
      <protection locked="0"/>
    </xf>
    <xf numFmtId="10" fontId="7" fillId="0" borderId="16" xfId="0" applyNumberFormat="1" applyFont="1" applyBorder="1" applyAlignment="1" applyProtection="1">
      <alignment/>
      <protection locked="0"/>
    </xf>
    <xf numFmtId="171" fontId="7" fillId="0" borderId="0" xfId="44" applyNumberFormat="1" applyFont="1" applyBorder="1" applyAlignment="1" applyProtection="1">
      <alignment/>
      <protection locked="0"/>
    </xf>
    <xf numFmtId="44" fontId="7" fillId="0" borderId="0" xfId="44" applyFont="1" applyBorder="1" applyAlignment="1" applyProtection="1">
      <alignment/>
      <protection locked="0"/>
    </xf>
    <xf numFmtId="171" fontId="7" fillId="0" borderId="12" xfId="44" applyNumberFormat="1" applyFont="1" applyBorder="1" applyAlignment="1" applyProtection="1">
      <alignment/>
      <protection locked="0"/>
    </xf>
    <xf numFmtId="173" fontId="7" fillId="0" borderId="10" xfId="42" applyNumberFormat="1" applyFont="1" applyBorder="1" applyAlignment="1" applyProtection="1" quotePrefix="1">
      <alignment horizontal="center"/>
      <protection locked="0"/>
    </xf>
    <xf numFmtId="173" fontId="7" fillId="0" borderId="0" xfId="42" applyNumberFormat="1" applyFont="1" applyBorder="1" applyAlignment="1" applyProtection="1" quotePrefix="1">
      <alignment horizontal="center"/>
      <protection locked="0"/>
    </xf>
    <xf numFmtId="168" fontId="7" fillId="0" borderId="14" xfId="42" applyNumberFormat="1" applyFont="1" applyBorder="1" applyAlignment="1" applyProtection="1">
      <alignment horizontal="right"/>
      <protection locked="0"/>
    </xf>
    <xf numFmtId="168" fontId="7" fillId="0" borderId="11" xfId="42" applyNumberFormat="1" applyFont="1" applyBorder="1" applyAlignment="1" applyProtection="1">
      <alignment horizontal="right"/>
      <protection locked="0"/>
    </xf>
    <xf numFmtId="168" fontId="7" fillId="0" borderId="0" xfId="42" applyNumberFormat="1" applyFont="1" applyBorder="1" applyAlignment="1" applyProtection="1">
      <alignment/>
      <protection locked="0"/>
    </xf>
    <xf numFmtId="167" fontId="7" fillId="0" borderId="0" xfId="42" applyNumberFormat="1" applyFont="1" applyBorder="1" applyAlignment="1" applyProtection="1">
      <alignment/>
      <protection locked="0"/>
    </xf>
    <xf numFmtId="43" fontId="7" fillId="0" borderId="0" xfId="42" applyFont="1" applyBorder="1" applyAlignment="1" applyProtection="1">
      <alignment/>
      <protection locked="0"/>
    </xf>
    <xf numFmtId="168" fontId="7" fillId="0" borderId="13" xfId="42" applyNumberFormat="1" applyFont="1" applyBorder="1" applyAlignment="1" applyProtection="1">
      <alignment horizontal="right"/>
      <protection locked="0"/>
    </xf>
    <xf numFmtId="168" fontId="7" fillId="0" borderId="12" xfId="42" applyNumberFormat="1" applyFont="1" applyBorder="1" applyAlignment="1" applyProtection="1">
      <alignment/>
      <protection locked="0"/>
    </xf>
    <xf numFmtId="167" fontId="7" fillId="0" borderId="12" xfId="42" applyNumberFormat="1" applyFont="1" applyBorder="1" applyAlignment="1" applyProtection="1">
      <alignment/>
      <protection locked="0"/>
    </xf>
    <xf numFmtId="43" fontId="7" fillId="0" borderId="12" xfId="42" applyFont="1" applyBorder="1" applyAlignment="1" applyProtection="1">
      <alignment/>
      <protection locked="0"/>
    </xf>
    <xf numFmtId="43" fontId="7" fillId="0" borderId="20" xfId="42" applyFont="1" applyBorder="1" applyAlignment="1" applyProtection="1">
      <alignment/>
      <protection locked="0"/>
    </xf>
    <xf numFmtId="43" fontId="7" fillId="0" borderId="21" xfId="42" applyFont="1" applyBorder="1" applyAlignment="1" applyProtection="1">
      <alignment/>
      <protection locked="0"/>
    </xf>
    <xf numFmtId="0" fontId="16" fillId="36" borderId="16" xfId="0" applyFont="1" applyFill="1" applyBorder="1" applyAlignment="1" applyProtection="1">
      <alignment horizontal="center"/>
      <protection locked="0"/>
    </xf>
    <xf numFmtId="0" fontId="16" fillId="36" borderId="21" xfId="0" applyFont="1" applyFill="1" applyBorder="1" applyAlignment="1" applyProtection="1">
      <alignment horizontal="center"/>
      <protection locked="0"/>
    </xf>
    <xf numFmtId="9" fontId="7" fillId="0" borderId="0" xfId="60" applyFont="1" applyBorder="1" applyAlignment="1" applyProtection="1">
      <alignment horizontal="right"/>
      <protection locked="0"/>
    </xf>
    <xf numFmtId="0" fontId="0" fillId="34" borderId="2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2" xfId="0" applyFill="1" applyBorder="1" applyAlignment="1">
      <alignment/>
    </xf>
    <xf numFmtId="9" fontId="7" fillId="0" borderId="20" xfId="60" applyFont="1" applyBorder="1" applyAlignment="1" applyProtection="1">
      <alignment horizontal="right"/>
      <protection locked="0"/>
    </xf>
    <xf numFmtId="164" fontId="0" fillId="0" borderId="0" xfId="0" applyNumberFormat="1" applyBorder="1" applyAlignment="1">
      <alignment horizontal="right"/>
    </xf>
    <xf numFmtId="168" fontId="4" fillId="0" borderId="0" xfId="42" applyNumberFormat="1" applyFont="1" applyBorder="1" applyAlignment="1">
      <alignment/>
    </xf>
    <xf numFmtId="168" fontId="4" fillId="0" borderId="0" xfId="42" applyNumberFormat="1" applyFont="1" applyBorder="1" applyAlignment="1">
      <alignment horizontal="right"/>
    </xf>
    <xf numFmtId="167" fontId="7" fillId="0" borderId="12" xfId="42" applyNumberFormat="1" applyFont="1" applyBorder="1" applyAlignment="1" applyProtection="1">
      <alignment horizontal="right"/>
      <protection locked="0"/>
    </xf>
    <xf numFmtId="44" fontId="7" fillId="0" borderId="18" xfId="44" applyFont="1" applyBorder="1" applyAlignment="1" applyProtection="1">
      <alignment horizontal="right"/>
      <protection locked="0"/>
    </xf>
    <xf numFmtId="9" fontId="7" fillId="0" borderId="18" xfId="60" applyFont="1" applyBorder="1" applyAlignment="1" applyProtection="1">
      <alignment horizontal="right"/>
      <protection locked="0"/>
    </xf>
    <xf numFmtId="9" fontId="7" fillId="0" borderId="19" xfId="60" applyFont="1" applyBorder="1" applyAlignment="1" applyProtection="1">
      <alignment horizontal="right"/>
      <protection locked="0"/>
    </xf>
    <xf numFmtId="167" fontId="0" fillId="0" borderId="10" xfId="42" applyNumberFormat="1" applyFont="1" applyBorder="1" applyAlignment="1" applyProtection="1">
      <alignment horizontal="right"/>
      <protection/>
    </xf>
    <xf numFmtId="42" fontId="7" fillId="0" borderId="17" xfId="44" applyNumberFormat="1" applyFont="1" applyBorder="1" applyAlignment="1" applyProtection="1">
      <alignment horizontal="right"/>
      <protection locked="0"/>
    </xf>
    <xf numFmtId="167" fontId="0" fillId="0" borderId="10" xfId="42" applyNumberFormat="1" applyFill="1" applyBorder="1" applyAlignment="1">
      <alignment horizontal="right"/>
    </xf>
    <xf numFmtId="164" fontId="4" fillId="35" borderId="11" xfId="0" applyNumberFormat="1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168" fontId="0" fillId="0" borderId="16" xfId="42" applyNumberFormat="1" applyBorder="1" applyAlignment="1">
      <alignment horizontal="right"/>
    </xf>
    <xf numFmtId="168" fontId="0" fillId="0" borderId="20" xfId="42" applyNumberFormat="1" applyBorder="1" applyAlignment="1">
      <alignment horizontal="right"/>
    </xf>
    <xf numFmtId="168" fontId="0" fillId="0" borderId="21" xfId="42" applyNumberFormat="1" applyBorder="1" applyAlignment="1">
      <alignment horizontal="right"/>
    </xf>
    <xf numFmtId="37" fontId="11" fillId="0" borderId="12" xfId="0" applyNumberFormat="1" applyFont="1" applyBorder="1" applyAlignment="1">
      <alignment/>
    </xf>
    <xf numFmtId="168" fontId="0" fillId="0" borderId="17" xfId="42" applyNumberFormat="1" applyBorder="1" applyAlignment="1">
      <alignment/>
    </xf>
    <xf numFmtId="168" fontId="0" fillId="0" borderId="18" xfId="42" applyNumberFormat="1" applyBorder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b/>
        <i val="0"/>
      </font>
      <fill>
        <patternFill>
          <bgColor indexed="13"/>
        </patternFill>
      </fill>
    </dxf>
    <dxf>
      <fill>
        <patternFill patternType="gray0625">
          <bgColor indexed="47"/>
        </patternFill>
      </fill>
    </dxf>
    <dxf>
      <fill>
        <patternFill>
          <bgColor indexed="13"/>
        </patternFill>
      </fill>
    </dxf>
    <dxf>
      <fill>
        <patternFill patternType="gray0625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53"/>
        </patternFill>
      </fill>
    </dxf>
    <dxf>
      <fill>
        <patternFill>
          <bgColor indexed="51"/>
        </patternFill>
      </fill>
    </dxf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0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4.7109375" style="0" customWidth="1"/>
    <col min="2" max="2" width="8.57421875" style="0" customWidth="1"/>
    <col min="3" max="3" width="13.7109375" style="0" customWidth="1"/>
    <col min="4" max="4" width="14.8515625" style="0" customWidth="1"/>
    <col min="5" max="5" width="15.28125" style="0" customWidth="1"/>
    <col min="6" max="6" width="11.421875" style="0" customWidth="1"/>
    <col min="7" max="7" width="14.00390625" style="0" customWidth="1"/>
    <col min="8" max="8" width="13.8515625" style="0" customWidth="1"/>
    <col min="9" max="9" width="14.140625" style="0" customWidth="1"/>
    <col min="10" max="10" width="14.57421875" style="0" bestFit="1" customWidth="1"/>
    <col min="11" max="11" width="14.00390625" style="0" customWidth="1"/>
    <col min="12" max="14" width="13.421875" style="0" bestFit="1" customWidth="1"/>
    <col min="15" max="15" width="13.8515625" style="0" customWidth="1"/>
    <col min="16" max="16" width="14.7109375" style="0" customWidth="1"/>
  </cols>
  <sheetData>
    <row r="1" spans="1:8" ht="23.25">
      <c r="A1" s="99" t="s">
        <v>86</v>
      </c>
      <c r="H1" s="354" t="s">
        <v>176</v>
      </c>
    </row>
    <row r="2" s="28" customFormat="1" ht="12.75">
      <c r="A2" s="23"/>
    </row>
    <row r="3" spans="1:12" s="28" customFormat="1" ht="12.75">
      <c r="A3" s="23"/>
      <c r="B3" s="153" t="s">
        <v>112</v>
      </c>
      <c r="C3" s="153" t="s">
        <v>106</v>
      </c>
      <c r="D3" s="153" t="s">
        <v>178</v>
      </c>
      <c r="E3" s="153" t="s">
        <v>107</v>
      </c>
      <c r="F3" s="153" t="s">
        <v>108</v>
      </c>
      <c r="G3" s="153" t="s">
        <v>109</v>
      </c>
      <c r="H3" s="153" t="s">
        <v>110</v>
      </c>
      <c r="I3" s="153" t="s">
        <v>144</v>
      </c>
      <c r="J3" s="153"/>
      <c r="K3" s="153"/>
      <c r="L3" s="153" t="s">
        <v>111</v>
      </c>
    </row>
    <row r="4" spans="1:12" s="28" customFormat="1" ht="12.75">
      <c r="A4" s="23"/>
      <c r="B4" s="156">
        <f>C99</f>
        <v>8</v>
      </c>
      <c r="C4" s="157">
        <f>D99</f>
        <v>3840</v>
      </c>
      <c r="D4" s="158">
        <f>MAX(C71:C73)</f>
        <v>21.333333333333332</v>
      </c>
      <c r="E4" s="157">
        <f>SUMPRODUCT(C28:C42,D28:D42,F28:F42)</f>
        <v>268800</v>
      </c>
      <c r="F4" s="157">
        <f>I123/365</f>
        <v>40320</v>
      </c>
      <c r="G4" s="157">
        <f>E123/365</f>
        <v>14649.600000000002</v>
      </c>
      <c r="H4" s="157">
        <f>H123/365</f>
        <v>16078.933333333332</v>
      </c>
      <c r="I4" s="157">
        <f>E137/365</f>
        <v>5459.0633959859815</v>
      </c>
      <c r="J4" s="154"/>
      <c r="K4" s="154"/>
      <c r="L4" s="157">
        <f>E140/365</f>
        <v>18782.00327068069</v>
      </c>
    </row>
    <row r="5" s="28" customFormat="1" ht="12.75">
      <c r="A5" s="23"/>
    </row>
    <row r="6" s="28" customFormat="1" ht="12.75">
      <c r="A6" s="23"/>
    </row>
    <row r="7" s="28" customFormat="1" ht="12.75">
      <c r="A7" s="23"/>
    </row>
    <row r="9" ht="18">
      <c r="A9" s="70" t="s">
        <v>2</v>
      </c>
    </row>
    <row r="10" ht="18">
      <c r="A10" s="70"/>
    </row>
    <row r="11" ht="12.75">
      <c r="B11" s="22"/>
    </row>
    <row r="12" spans="2:9" ht="15.75">
      <c r="B12" s="73" t="s">
        <v>4</v>
      </c>
      <c r="I12" s="75" t="s">
        <v>72</v>
      </c>
    </row>
    <row r="13" spans="2:11" ht="12.75">
      <c r="B13" s="170"/>
      <c r="C13" s="171"/>
      <c r="D13" s="171" t="s">
        <v>142</v>
      </c>
      <c r="E13" s="171"/>
      <c r="F13" s="171" t="s">
        <v>15</v>
      </c>
      <c r="G13" s="172" t="s">
        <v>17</v>
      </c>
      <c r="I13" s="21" t="s">
        <v>37</v>
      </c>
      <c r="J13" s="12" t="s">
        <v>38</v>
      </c>
      <c r="K13" s="308">
        <v>1800</v>
      </c>
    </row>
    <row r="14" spans="2:11" ht="12.75">
      <c r="B14" s="173" t="s">
        <v>5</v>
      </c>
      <c r="C14" s="174" t="s">
        <v>10</v>
      </c>
      <c r="D14" s="174" t="s">
        <v>175</v>
      </c>
      <c r="E14" s="174" t="s">
        <v>13</v>
      </c>
      <c r="F14" s="174" t="s">
        <v>104</v>
      </c>
      <c r="G14" s="175" t="s">
        <v>18</v>
      </c>
      <c r="I14" s="25" t="s">
        <v>39</v>
      </c>
      <c r="J14" s="32" t="s">
        <v>40</v>
      </c>
      <c r="K14" s="309">
        <v>0.35</v>
      </c>
    </row>
    <row r="15" spans="2:11" ht="12.75">
      <c r="B15" s="176" t="s">
        <v>9</v>
      </c>
      <c r="C15" s="177" t="s">
        <v>11</v>
      </c>
      <c r="D15" s="177" t="s">
        <v>12</v>
      </c>
      <c r="E15" s="177" t="s">
        <v>14</v>
      </c>
      <c r="F15" s="177" t="s">
        <v>16</v>
      </c>
      <c r="G15" s="178" t="s">
        <v>19</v>
      </c>
      <c r="I15" s="25" t="s">
        <v>41</v>
      </c>
      <c r="J15" s="32" t="s">
        <v>42</v>
      </c>
      <c r="K15" s="334">
        <v>0.35</v>
      </c>
    </row>
    <row r="16" spans="2:11" ht="12.75">
      <c r="B16" s="93">
        <v>1</v>
      </c>
      <c r="C16" s="296">
        <v>120</v>
      </c>
      <c r="D16" s="297">
        <v>22</v>
      </c>
      <c r="E16" s="298">
        <v>4</v>
      </c>
      <c r="F16" s="299">
        <v>10</v>
      </c>
      <c r="G16" s="300">
        <v>0.05</v>
      </c>
      <c r="I16" s="20" t="s">
        <v>121</v>
      </c>
      <c r="J16" s="14" t="s">
        <v>128</v>
      </c>
      <c r="K16" s="310">
        <v>0.14</v>
      </c>
    </row>
    <row r="17" spans="2:7" ht="12.75">
      <c r="B17" s="94">
        <v>2</v>
      </c>
      <c r="C17" s="301">
        <v>15</v>
      </c>
      <c r="D17" s="302">
        <v>8</v>
      </c>
      <c r="E17" s="303">
        <v>2</v>
      </c>
      <c r="F17" s="302">
        <v>10</v>
      </c>
      <c r="G17" s="304">
        <v>0.06</v>
      </c>
    </row>
    <row r="18" spans="2:7" ht="12.75">
      <c r="B18" s="95">
        <v>3</v>
      </c>
      <c r="C18" s="305"/>
      <c r="D18" s="306"/>
      <c r="E18" s="305"/>
      <c r="F18" s="306"/>
      <c r="G18" s="307"/>
    </row>
    <row r="19" spans="2:7" ht="12.75">
      <c r="B19" s="33"/>
      <c r="C19" s="92"/>
      <c r="D19" s="92"/>
      <c r="E19" s="92"/>
      <c r="F19" s="81"/>
      <c r="G19" s="81"/>
    </row>
    <row r="20" spans="2:7" ht="12.75">
      <c r="B20" s="33"/>
      <c r="C20" s="92"/>
      <c r="D20" s="92"/>
      <c r="E20" s="92"/>
      <c r="F20" s="81"/>
      <c r="G20" s="81"/>
    </row>
    <row r="21" spans="2:7" ht="12.75">
      <c r="B21" s="33"/>
      <c r="C21" s="92"/>
      <c r="D21" s="92"/>
      <c r="E21" s="92"/>
      <c r="F21" s="81"/>
      <c r="G21" s="81"/>
    </row>
    <row r="22" spans="2:7" ht="12.75">
      <c r="B22" s="33"/>
      <c r="C22" s="92"/>
      <c r="D22" s="92"/>
      <c r="E22" s="92"/>
      <c r="F22" s="81"/>
      <c r="G22" s="81"/>
    </row>
    <row r="23" spans="3:7" ht="12.75">
      <c r="C23" s="15"/>
      <c r="D23" s="15"/>
      <c r="E23" s="15"/>
      <c r="F23" s="16"/>
      <c r="G23" s="16"/>
    </row>
    <row r="24" spans="2:7" ht="15.75">
      <c r="B24" s="74" t="s">
        <v>3</v>
      </c>
      <c r="C24" s="1"/>
      <c r="D24" s="1"/>
      <c r="E24" s="1"/>
      <c r="F24" s="6"/>
      <c r="G24" s="1"/>
    </row>
    <row r="25" spans="2:12" ht="12.75">
      <c r="B25" s="170"/>
      <c r="C25" s="171" t="s">
        <v>20</v>
      </c>
      <c r="D25" s="171" t="s">
        <v>0</v>
      </c>
      <c r="E25" s="171" t="s">
        <v>23</v>
      </c>
      <c r="F25" s="171" t="s">
        <v>26</v>
      </c>
      <c r="G25" s="194" t="s">
        <v>17</v>
      </c>
      <c r="H25" s="171"/>
      <c r="I25" s="171"/>
      <c r="J25" s="171" t="s">
        <v>32</v>
      </c>
      <c r="K25" s="171" t="s">
        <v>36</v>
      </c>
      <c r="L25" s="172" t="s">
        <v>26</v>
      </c>
    </row>
    <row r="26" spans="2:12" ht="12.75">
      <c r="B26" s="173" t="s">
        <v>0</v>
      </c>
      <c r="C26" s="174" t="s">
        <v>21</v>
      </c>
      <c r="D26" s="174" t="s">
        <v>22</v>
      </c>
      <c r="E26" s="174" t="s">
        <v>24</v>
      </c>
      <c r="F26" s="174" t="s">
        <v>27</v>
      </c>
      <c r="G26" s="179" t="s">
        <v>29</v>
      </c>
      <c r="H26" s="174" t="s">
        <v>5</v>
      </c>
      <c r="I26" s="174" t="s">
        <v>30</v>
      </c>
      <c r="J26" s="174" t="s">
        <v>99</v>
      </c>
      <c r="K26" s="174" t="s">
        <v>1</v>
      </c>
      <c r="L26" s="175" t="s">
        <v>34</v>
      </c>
    </row>
    <row r="27" spans="2:12" ht="12.75">
      <c r="B27" s="176" t="s">
        <v>9</v>
      </c>
      <c r="C27" s="177" t="s">
        <v>11</v>
      </c>
      <c r="D27" s="177" t="s">
        <v>11</v>
      </c>
      <c r="E27" s="177" t="s">
        <v>25</v>
      </c>
      <c r="F27" s="177" t="s">
        <v>28</v>
      </c>
      <c r="G27" s="177" t="s">
        <v>6</v>
      </c>
      <c r="H27" s="177" t="s">
        <v>9</v>
      </c>
      <c r="I27" s="177" t="s">
        <v>31</v>
      </c>
      <c r="J27" s="177" t="s">
        <v>33</v>
      </c>
      <c r="K27" s="177" t="s">
        <v>25</v>
      </c>
      <c r="L27" s="178" t="s">
        <v>35</v>
      </c>
    </row>
    <row r="28" spans="2:15" ht="12.75">
      <c r="B28" s="317">
        <v>1</v>
      </c>
      <c r="C28" s="296">
        <v>8</v>
      </c>
      <c r="D28" s="296">
        <v>480</v>
      </c>
      <c r="E28" s="296">
        <v>1500</v>
      </c>
      <c r="F28" s="296">
        <v>70</v>
      </c>
      <c r="G28" s="296">
        <v>3</v>
      </c>
      <c r="H28" s="296">
        <v>1</v>
      </c>
      <c r="I28" s="298">
        <v>4.5</v>
      </c>
      <c r="J28" s="299">
        <v>0.07</v>
      </c>
      <c r="K28" s="272">
        <f aca="true" t="shared" si="0" ref="K28:K42">(0.02*E28)+(0.35*F28)</f>
        <v>54.5</v>
      </c>
      <c r="L28" s="300">
        <v>15</v>
      </c>
      <c r="O28" s="5"/>
    </row>
    <row r="29" spans="2:15" ht="12.75">
      <c r="B29" s="318">
        <v>2</v>
      </c>
      <c r="C29" s="301">
        <v>0</v>
      </c>
      <c r="D29" s="301">
        <v>480</v>
      </c>
      <c r="E29" s="301">
        <v>1500</v>
      </c>
      <c r="F29" s="301">
        <v>70</v>
      </c>
      <c r="G29" s="301">
        <v>3</v>
      </c>
      <c r="H29" s="301">
        <v>1</v>
      </c>
      <c r="I29" s="303">
        <v>4.5</v>
      </c>
      <c r="J29" s="302">
        <v>0.07</v>
      </c>
      <c r="K29" s="273">
        <f t="shared" si="0"/>
        <v>54.5</v>
      </c>
      <c r="L29" s="304">
        <v>15</v>
      </c>
      <c r="O29" s="5"/>
    </row>
    <row r="30" spans="2:15" ht="12.75">
      <c r="B30" s="318">
        <v>3</v>
      </c>
      <c r="C30" s="301">
        <v>0</v>
      </c>
      <c r="D30" s="301">
        <v>480</v>
      </c>
      <c r="E30" s="301">
        <v>1500</v>
      </c>
      <c r="F30" s="301">
        <v>70</v>
      </c>
      <c r="G30" s="301">
        <v>3</v>
      </c>
      <c r="H30" s="301">
        <v>1</v>
      </c>
      <c r="I30" s="303">
        <v>4.5</v>
      </c>
      <c r="J30" s="302">
        <v>0.07</v>
      </c>
      <c r="K30" s="273">
        <f aca="true" t="shared" si="1" ref="K30:K35">(0.02*E30)+(0.35*F30)</f>
        <v>54.5</v>
      </c>
      <c r="L30" s="304">
        <v>15</v>
      </c>
      <c r="O30" s="5"/>
    </row>
    <row r="31" spans="2:15" ht="12.75">
      <c r="B31" s="318">
        <v>4</v>
      </c>
      <c r="C31" s="301">
        <v>0</v>
      </c>
      <c r="D31" s="301">
        <v>480</v>
      </c>
      <c r="E31" s="301">
        <v>1500</v>
      </c>
      <c r="F31" s="301">
        <v>70</v>
      </c>
      <c r="G31" s="301">
        <v>3</v>
      </c>
      <c r="H31" s="301">
        <v>1</v>
      </c>
      <c r="I31" s="303">
        <v>4.5</v>
      </c>
      <c r="J31" s="302">
        <v>0.07</v>
      </c>
      <c r="K31" s="273">
        <f t="shared" si="1"/>
        <v>54.5</v>
      </c>
      <c r="L31" s="304">
        <v>15</v>
      </c>
      <c r="O31" s="5"/>
    </row>
    <row r="32" spans="2:15" ht="12.75">
      <c r="B32" s="318">
        <v>5</v>
      </c>
      <c r="C32" s="301">
        <v>0</v>
      </c>
      <c r="D32" s="301">
        <v>480</v>
      </c>
      <c r="E32" s="301">
        <v>1500</v>
      </c>
      <c r="F32" s="301">
        <v>70</v>
      </c>
      <c r="G32" s="301">
        <v>3</v>
      </c>
      <c r="H32" s="301">
        <v>1</v>
      </c>
      <c r="I32" s="303">
        <v>4.5</v>
      </c>
      <c r="J32" s="302">
        <v>0.07</v>
      </c>
      <c r="K32" s="273">
        <f t="shared" si="1"/>
        <v>54.5</v>
      </c>
      <c r="L32" s="304">
        <v>15</v>
      </c>
      <c r="O32" s="5"/>
    </row>
    <row r="33" spans="2:15" ht="12.75">
      <c r="B33" s="318">
        <v>6</v>
      </c>
      <c r="C33" s="301">
        <v>0</v>
      </c>
      <c r="D33" s="301">
        <v>480</v>
      </c>
      <c r="E33" s="301">
        <v>1500</v>
      </c>
      <c r="F33" s="301">
        <v>70</v>
      </c>
      <c r="G33" s="301">
        <v>3</v>
      </c>
      <c r="H33" s="301">
        <v>1</v>
      </c>
      <c r="I33" s="303">
        <v>4.5</v>
      </c>
      <c r="J33" s="302">
        <v>0.07</v>
      </c>
      <c r="K33" s="273">
        <f t="shared" si="1"/>
        <v>54.5</v>
      </c>
      <c r="L33" s="304">
        <v>15</v>
      </c>
      <c r="O33" s="5"/>
    </row>
    <row r="34" spans="2:15" ht="12.75">
      <c r="B34" s="318">
        <v>7</v>
      </c>
      <c r="C34" s="301">
        <v>0</v>
      </c>
      <c r="D34" s="301">
        <v>480</v>
      </c>
      <c r="E34" s="301">
        <v>1500</v>
      </c>
      <c r="F34" s="301">
        <v>70</v>
      </c>
      <c r="G34" s="301">
        <v>3</v>
      </c>
      <c r="H34" s="301">
        <v>1</v>
      </c>
      <c r="I34" s="303">
        <v>4.5</v>
      </c>
      <c r="J34" s="302">
        <v>0.07</v>
      </c>
      <c r="K34" s="273">
        <f t="shared" si="1"/>
        <v>54.5</v>
      </c>
      <c r="L34" s="304">
        <v>15</v>
      </c>
      <c r="O34" s="5"/>
    </row>
    <row r="35" spans="2:15" ht="12.75">
      <c r="B35" s="318">
        <v>8</v>
      </c>
      <c r="C35" s="301">
        <v>0</v>
      </c>
      <c r="D35" s="301">
        <v>480</v>
      </c>
      <c r="E35" s="301">
        <v>1500</v>
      </c>
      <c r="F35" s="301">
        <v>70</v>
      </c>
      <c r="G35" s="301">
        <v>3</v>
      </c>
      <c r="H35" s="301">
        <v>1</v>
      </c>
      <c r="I35" s="303">
        <v>4.5</v>
      </c>
      <c r="J35" s="302">
        <v>0.07</v>
      </c>
      <c r="K35" s="273">
        <f t="shared" si="1"/>
        <v>54.5</v>
      </c>
      <c r="L35" s="304">
        <v>15</v>
      </c>
      <c r="O35" s="5"/>
    </row>
    <row r="36" spans="2:15" ht="12.75">
      <c r="B36" s="318">
        <v>9</v>
      </c>
      <c r="C36" s="301"/>
      <c r="D36" s="301"/>
      <c r="E36" s="301"/>
      <c r="F36" s="301"/>
      <c r="G36" s="301"/>
      <c r="H36" s="301"/>
      <c r="I36" s="303"/>
      <c r="J36" s="302"/>
      <c r="K36" s="273">
        <f t="shared" si="0"/>
        <v>0</v>
      </c>
      <c r="L36" s="304"/>
      <c r="O36" s="5"/>
    </row>
    <row r="37" spans="2:15" ht="12.75">
      <c r="B37" s="318">
        <v>10</v>
      </c>
      <c r="C37" s="301"/>
      <c r="D37" s="301"/>
      <c r="E37" s="301"/>
      <c r="F37" s="301"/>
      <c r="G37" s="301"/>
      <c r="H37" s="301"/>
      <c r="I37" s="303"/>
      <c r="J37" s="302"/>
      <c r="K37" s="273">
        <f t="shared" si="0"/>
        <v>0</v>
      </c>
      <c r="L37" s="304"/>
      <c r="O37" s="5"/>
    </row>
    <row r="38" spans="2:15" ht="12.75">
      <c r="B38" s="318">
        <v>11</v>
      </c>
      <c r="C38" s="301"/>
      <c r="D38" s="301"/>
      <c r="E38" s="301"/>
      <c r="F38" s="301"/>
      <c r="G38" s="301"/>
      <c r="H38" s="301"/>
      <c r="I38" s="303"/>
      <c r="J38" s="302"/>
      <c r="K38" s="273">
        <f t="shared" si="0"/>
        <v>0</v>
      </c>
      <c r="L38" s="304"/>
      <c r="O38" s="5"/>
    </row>
    <row r="39" spans="2:15" ht="12.75">
      <c r="B39" s="318">
        <v>12</v>
      </c>
      <c r="C39" s="301"/>
      <c r="D39" s="301"/>
      <c r="E39" s="301"/>
      <c r="F39" s="301"/>
      <c r="G39" s="301"/>
      <c r="H39" s="301"/>
      <c r="I39" s="303"/>
      <c r="J39" s="302"/>
      <c r="K39" s="273">
        <f t="shared" si="0"/>
        <v>0</v>
      </c>
      <c r="L39" s="304"/>
      <c r="O39" s="5"/>
    </row>
    <row r="40" spans="2:15" ht="12.75">
      <c r="B40" s="318">
        <v>13</v>
      </c>
      <c r="C40" s="301"/>
      <c r="D40" s="301"/>
      <c r="E40" s="301"/>
      <c r="F40" s="301"/>
      <c r="G40" s="301"/>
      <c r="H40" s="301"/>
      <c r="I40" s="303"/>
      <c r="J40" s="302"/>
      <c r="K40" s="273">
        <f t="shared" si="0"/>
        <v>0</v>
      </c>
      <c r="L40" s="304"/>
      <c r="O40" s="5"/>
    </row>
    <row r="41" spans="2:15" ht="12.75">
      <c r="B41" s="318">
        <v>14</v>
      </c>
      <c r="C41" s="319"/>
      <c r="D41" s="319"/>
      <c r="E41" s="319"/>
      <c r="F41" s="319"/>
      <c r="G41" s="319"/>
      <c r="H41" s="319"/>
      <c r="I41" s="320"/>
      <c r="J41" s="321"/>
      <c r="K41" s="273">
        <f t="shared" si="0"/>
        <v>0</v>
      </c>
      <c r="L41" s="326"/>
      <c r="O41" s="5"/>
    </row>
    <row r="42" spans="2:15" ht="12.75">
      <c r="B42" s="322">
        <v>15</v>
      </c>
      <c r="C42" s="323"/>
      <c r="D42" s="323"/>
      <c r="E42" s="323"/>
      <c r="F42" s="323"/>
      <c r="G42" s="323"/>
      <c r="H42" s="323"/>
      <c r="I42" s="324"/>
      <c r="J42" s="325"/>
      <c r="K42" s="274">
        <f t="shared" si="0"/>
        <v>0</v>
      </c>
      <c r="L42" s="327"/>
      <c r="O42" s="5"/>
    </row>
    <row r="44" ht="18">
      <c r="A44" s="70" t="s">
        <v>7</v>
      </c>
    </row>
    <row r="45" ht="12.75">
      <c r="B45" s="23"/>
    </row>
    <row r="46" ht="15.75">
      <c r="B46" s="75" t="s">
        <v>57</v>
      </c>
    </row>
    <row r="47" ht="15.75">
      <c r="B47" s="75" t="s">
        <v>43</v>
      </c>
    </row>
    <row r="48" spans="2:12" ht="12.75">
      <c r="B48" s="180"/>
      <c r="C48" s="181" t="s">
        <v>20</v>
      </c>
      <c r="D48" s="181" t="s">
        <v>0</v>
      </c>
      <c r="E48" s="182"/>
      <c r="F48" s="181" t="s">
        <v>58</v>
      </c>
      <c r="G48" s="181" t="s">
        <v>5</v>
      </c>
      <c r="H48" s="181" t="s">
        <v>68</v>
      </c>
      <c r="I48" s="181" t="s">
        <v>61</v>
      </c>
      <c r="J48" s="181" t="s">
        <v>63</v>
      </c>
      <c r="K48" s="181" t="s">
        <v>17</v>
      </c>
      <c r="L48" s="183" t="s">
        <v>83</v>
      </c>
    </row>
    <row r="49" spans="2:12" ht="12.75">
      <c r="B49" s="184" t="s">
        <v>0</v>
      </c>
      <c r="C49" s="185" t="s">
        <v>21</v>
      </c>
      <c r="D49" s="185" t="s">
        <v>22</v>
      </c>
      <c r="E49" s="185" t="s">
        <v>53</v>
      </c>
      <c r="F49" s="185" t="s">
        <v>5</v>
      </c>
      <c r="G49" s="185" t="s">
        <v>59</v>
      </c>
      <c r="H49" s="185" t="s">
        <v>64</v>
      </c>
      <c r="I49" s="185" t="s">
        <v>62</v>
      </c>
      <c r="J49" s="185" t="s">
        <v>64</v>
      </c>
      <c r="K49" s="185" t="s">
        <v>54</v>
      </c>
      <c r="L49" s="186" t="s">
        <v>57</v>
      </c>
    </row>
    <row r="50" spans="2:12" ht="12.75">
      <c r="B50" s="187" t="s">
        <v>9</v>
      </c>
      <c r="C50" s="188" t="s">
        <v>11</v>
      </c>
      <c r="D50" s="188" t="s">
        <v>11</v>
      </c>
      <c r="E50" s="188" t="s">
        <v>11</v>
      </c>
      <c r="F50" s="188" t="s">
        <v>10</v>
      </c>
      <c r="G50" s="188" t="s">
        <v>60</v>
      </c>
      <c r="H50" s="188" t="s">
        <v>60</v>
      </c>
      <c r="I50" s="188" t="s">
        <v>17</v>
      </c>
      <c r="J50" s="188" t="s">
        <v>65</v>
      </c>
      <c r="K50" s="188" t="s">
        <v>91</v>
      </c>
      <c r="L50" s="189" t="s">
        <v>12</v>
      </c>
    </row>
    <row r="51" spans="2:12" ht="12.75">
      <c r="B51" s="96">
        <f aca="true" t="shared" si="2" ref="B51:D54">B28</f>
        <v>1</v>
      </c>
      <c r="C51" s="55">
        <f t="shared" si="2"/>
        <v>8</v>
      </c>
      <c r="D51" s="56">
        <f>D28</f>
        <v>480</v>
      </c>
      <c r="E51" s="56">
        <f>H28</f>
        <v>1</v>
      </c>
      <c r="F51" s="57">
        <f>IF(E51&gt;0,CHOOSE(E51,C$16,C$17,C$18),0)</f>
        <v>120</v>
      </c>
      <c r="G51" s="269">
        <f>I28</f>
        <v>4.5</v>
      </c>
      <c r="H51" s="57">
        <f>F51*G51</f>
        <v>540</v>
      </c>
      <c r="I51" s="53">
        <f>IF(F51&gt;0,ROUNDUP(D51/(F51/2),0)/(G51*2),0)</f>
        <v>0.8888888888888888</v>
      </c>
      <c r="J51" s="56">
        <f>G28</f>
        <v>3</v>
      </c>
      <c r="K51" s="53">
        <f>I51*J51</f>
        <v>2.6666666666666665</v>
      </c>
      <c r="L51" s="54">
        <f>C51*K51</f>
        <v>21.333333333333332</v>
      </c>
    </row>
    <row r="52" spans="2:12" ht="12.75">
      <c r="B52" s="97">
        <f t="shared" si="2"/>
        <v>2</v>
      </c>
      <c r="C52" s="33">
        <f t="shared" si="2"/>
        <v>0</v>
      </c>
      <c r="D52" s="58">
        <f t="shared" si="2"/>
        <v>480</v>
      </c>
      <c r="E52" s="58">
        <f>H29</f>
        <v>1</v>
      </c>
      <c r="F52" s="59">
        <f>IF(E52&gt;0,CHOOSE(E52,C$16,C$17,C$18),0)</f>
        <v>120</v>
      </c>
      <c r="G52" s="270">
        <f>I29</f>
        <v>4.5</v>
      </c>
      <c r="H52" s="59">
        <f>F52*G52</f>
        <v>540</v>
      </c>
      <c r="I52" s="49">
        <f>IF(F52&gt;0,ROUNDUP(D52/(F52/2),0)/(G52*2),0)</f>
        <v>0.8888888888888888</v>
      </c>
      <c r="J52" s="58">
        <f>G29</f>
        <v>3</v>
      </c>
      <c r="K52" s="49">
        <f>I52*J52</f>
        <v>2.6666666666666665</v>
      </c>
      <c r="L52" s="51">
        <f>C52*K52</f>
        <v>0</v>
      </c>
    </row>
    <row r="53" spans="2:12" ht="12.75">
      <c r="B53" s="97">
        <f t="shared" si="2"/>
        <v>3</v>
      </c>
      <c r="C53" s="33">
        <f t="shared" si="2"/>
        <v>0</v>
      </c>
      <c r="D53" s="58">
        <f t="shared" si="2"/>
        <v>480</v>
      </c>
      <c r="E53" s="58">
        <f>H30</f>
        <v>1</v>
      </c>
      <c r="F53" s="59">
        <f>IF(E53&gt;0,CHOOSE(E53,C$16,C$17,C$18),0)</f>
        <v>120</v>
      </c>
      <c r="G53" s="270">
        <f aca="true" t="shared" si="3" ref="G53:G58">I30</f>
        <v>4.5</v>
      </c>
      <c r="H53" s="59">
        <f>F53*G53</f>
        <v>540</v>
      </c>
      <c r="I53" s="49">
        <f aca="true" t="shared" si="4" ref="I53:I65">IF(F53&gt;0,ROUNDUP(D53/(F53/2),0)/(G53*2),0)</f>
        <v>0.8888888888888888</v>
      </c>
      <c r="J53" s="58">
        <f>G30</f>
        <v>3</v>
      </c>
      <c r="K53" s="49">
        <f>I53*J53</f>
        <v>2.6666666666666665</v>
      </c>
      <c r="L53" s="51">
        <f>C53*K53</f>
        <v>0</v>
      </c>
    </row>
    <row r="54" spans="2:12" ht="12.75">
      <c r="B54" s="97">
        <f t="shared" si="2"/>
        <v>4</v>
      </c>
      <c r="C54" s="33">
        <f t="shared" si="2"/>
        <v>0</v>
      </c>
      <c r="D54" s="58">
        <f t="shared" si="2"/>
        <v>480</v>
      </c>
      <c r="E54" s="58">
        <f>H31</f>
        <v>1</v>
      </c>
      <c r="F54" s="59">
        <f>IF(E54&gt;0,CHOOSE(E54,C$16,C$17,C$18),0)</f>
        <v>120</v>
      </c>
      <c r="G54" s="270">
        <f t="shared" si="3"/>
        <v>4.5</v>
      </c>
      <c r="H54" s="59">
        <f>F54*G54</f>
        <v>540</v>
      </c>
      <c r="I54" s="49">
        <f t="shared" si="4"/>
        <v>0.8888888888888888</v>
      </c>
      <c r="J54" s="58">
        <f>G31</f>
        <v>3</v>
      </c>
      <c r="K54" s="49">
        <f>I54*J54</f>
        <v>2.6666666666666665</v>
      </c>
      <c r="L54" s="51">
        <f>C54*K54</f>
        <v>0</v>
      </c>
    </row>
    <row r="55" spans="2:12" ht="12.75">
      <c r="B55" s="97">
        <f>B32</f>
        <v>5</v>
      </c>
      <c r="C55" s="33">
        <f>C32</f>
        <v>0</v>
      </c>
      <c r="D55" s="58">
        <f>D32</f>
        <v>480</v>
      </c>
      <c r="E55" s="58">
        <f>H32</f>
        <v>1</v>
      </c>
      <c r="F55" s="59">
        <f>IF(E55&gt;0,CHOOSE(E55,C$16,C$17,C$18),0)</f>
        <v>120</v>
      </c>
      <c r="G55" s="270">
        <f t="shared" si="3"/>
        <v>4.5</v>
      </c>
      <c r="H55" s="59">
        <f>F55*G55</f>
        <v>540</v>
      </c>
      <c r="I55" s="49">
        <f t="shared" si="4"/>
        <v>0.8888888888888888</v>
      </c>
      <c r="J55" s="58">
        <f>G32</f>
        <v>3</v>
      </c>
      <c r="K55" s="49">
        <f>I55*J55</f>
        <v>2.6666666666666665</v>
      </c>
      <c r="L55" s="51">
        <f>C55*K55</f>
        <v>0</v>
      </c>
    </row>
    <row r="56" spans="2:12" ht="12.75">
      <c r="B56" s="97">
        <f aca="true" t="shared" si="5" ref="B56:D65">B33</f>
        <v>6</v>
      </c>
      <c r="C56" s="33">
        <f t="shared" si="5"/>
        <v>0</v>
      </c>
      <c r="D56" s="58">
        <f t="shared" si="5"/>
        <v>480</v>
      </c>
      <c r="E56" s="58">
        <f aca="true" t="shared" si="6" ref="E56:E65">H33</f>
        <v>1</v>
      </c>
      <c r="F56" s="59">
        <f aca="true" t="shared" si="7" ref="F56:F65">IF(E56&gt;0,CHOOSE(E56,C$16,C$17,C$18),0)</f>
        <v>120</v>
      </c>
      <c r="G56" s="270">
        <f t="shared" si="3"/>
        <v>4.5</v>
      </c>
      <c r="H56" s="59">
        <f aca="true" t="shared" si="8" ref="H56:H65">F56*G56</f>
        <v>540</v>
      </c>
      <c r="I56" s="49">
        <f t="shared" si="4"/>
        <v>0.8888888888888888</v>
      </c>
      <c r="J56" s="58">
        <f aca="true" t="shared" si="9" ref="J56:J65">G33</f>
        <v>3</v>
      </c>
      <c r="K56" s="49">
        <f aca="true" t="shared" si="10" ref="K56:K65">I56*J56</f>
        <v>2.6666666666666665</v>
      </c>
      <c r="L56" s="51">
        <f aca="true" t="shared" si="11" ref="L56:L65">C56*K56</f>
        <v>0</v>
      </c>
    </row>
    <row r="57" spans="2:12" ht="12.75">
      <c r="B57" s="97">
        <f t="shared" si="5"/>
        <v>7</v>
      </c>
      <c r="C57" s="33">
        <f t="shared" si="5"/>
        <v>0</v>
      </c>
      <c r="D57" s="58">
        <f t="shared" si="5"/>
        <v>480</v>
      </c>
      <c r="E57" s="58">
        <f t="shared" si="6"/>
        <v>1</v>
      </c>
      <c r="F57" s="59">
        <f t="shared" si="7"/>
        <v>120</v>
      </c>
      <c r="G57" s="270">
        <f t="shared" si="3"/>
        <v>4.5</v>
      </c>
      <c r="H57" s="59">
        <f t="shared" si="8"/>
        <v>540</v>
      </c>
      <c r="I57" s="49">
        <f t="shared" si="4"/>
        <v>0.8888888888888888</v>
      </c>
      <c r="J57" s="58">
        <f t="shared" si="9"/>
        <v>3</v>
      </c>
      <c r="K57" s="49">
        <f t="shared" si="10"/>
        <v>2.6666666666666665</v>
      </c>
      <c r="L57" s="51">
        <f t="shared" si="11"/>
        <v>0</v>
      </c>
    </row>
    <row r="58" spans="2:12" ht="12.75">
      <c r="B58" s="97">
        <f t="shared" si="5"/>
        <v>8</v>
      </c>
      <c r="C58" s="33">
        <f t="shared" si="5"/>
        <v>0</v>
      </c>
      <c r="D58" s="58">
        <f t="shared" si="5"/>
        <v>480</v>
      </c>
      <c r="E58" s="58">
        <f t="shared" si="6"/>
        <v>1</v>
      </c>
      <c r="F58" s="59">
        <f t="shared" si="7"/>
        <v>120</v>
      </c>
      <c r="G58" s="270">
        <f t="shared" si="3"/>
        <v>4.5</v>
      </c>
      <c r="H58" s="59">
        <f t="shared" si="8"/>
        <v>540</v>
      </c>
      <c r="I58" s="49">
        <f t="shared" si="4"/>
        <v>0.8888888888888888</v>
      </c>
      <c r="J58" s="58">
        <f t="shared" si="9"/>
        <v>3</v>
      </c>
      <c r="K58" s="49">
        <f t="shared" si="10"/>
        <v>2.6666666666666665</v>
      </c>
      <c r="L58" s="51">
        <f t="shared" si="11"/>
        <v>0</v>
      </c>
    </row>
    <row r="59" spans="2:12" ht="12.75">
      <c r="B59" s="97">
        <f t="shared" si="5"/>
        <v>9</v>
      </c>
      <c r="C59" s="33">
        <f t="shared" si="5"/>
        <v>0</v>
      </c>
      <c r="D59" s="58">
        <f t="shared" si="5"/>
        <v>0</v>
      </c>
      <c r="E59" s="58">
        <f t="shared" si="6"/>
        <v>0</v>
      </c>
      <c r="F59" s="59">
        <f t="shared" si="7"/>
        <v>0</v>
      </c>
      <c r="G59" s="270">
        <f aca="true" t="shared" si="12" ref="G59:G65">I36</f>
        <v>0</v>
      </c>
      <c r="H59" s="59">
        <f t="shared" si="8"/>
        <v>0</v>
      </c>
      <c r="I59" s="49">
        <f t="shared" si="4"/>
        <v>0</v>
      </c>
      <c r="J59" s="58">
        <f t="shared" si="9"/>
        <v>0</v>
      </c>
      <c r="K59" s="49">
        <f t="shared" si="10"/>
        <v>0</v>
      </c>
      <c r="L59" s="51">
        <f t="shared" si="11"/>
        <v>0</v>
      </c>
    </row>
    <row r="60" spans="2:12" ht="12.75">
      <c r="B60" s="97">
        <f t="shared" si="5"/>
        <v>10</v>
      </c>
      <c r="C60" s="33">
        <f t="shared" si="5"/>
        <v>0</v>
      </c>
      <c r="D60" s="58">
        <f t="shared" si="5"/>
        <v>0</v>
      </c>
      <c r="E60" s="58">
        <f t="shared" si="6"/>
        <v>0</v>
      </c>
      <c r="F60" s="59">
        <f t="shared" si="7"/>
        <v>0</v>
      </c>
      <c r="G60" s="270">
        <f t="shared" si="12"/>
        <v>0</v>
      </c>
      <c r="H60" s="59">
        <f t="shared" si="8"/>
        <v>0</v>
      </c>
      <c r="I60" s="49">
        <f t="shared" si="4"/>
        <v>0</v>
      </c>
      <c r="J60" s="58">
        <f t="shared" si="9"/>
        <v>0</v>
      </c>
      <c r="K60" s="49">
        <f t="shared" si="10"/>
        <v>0</v>
      </c>
      <c r="L60" s="51">
        <f t="shared" si="11"/>
        <v>0</v>
      </c>
    </row>
    <row r="61" spans="2:12" ht="12.75">
      <c r="B61" s="97">
        <f t="shared" si="5"/>
        <v>11</v>
      </c>
      <c r="C61" s="33">
        <f t="shared" si="5"/>
        <v>0</v>
      </c>
      <c r="D61" s="58">
        <f t="shared" si="5"/>
        <v>0</v>
      </c>
      <c r="E61" s="58">
        <f t="shared" si="6"/>
        <v>0</v>
      </c>
      <c r="F61" s="59">
        <f t="shared" si="7"/>
        <v>0</v>
      </c>
      <c r="G61" s="270">
        <f t="shared" si="12"/>
        <v>0</v>
      </c>
      <c r="H61" s="59">
        <f t="shared" si="8"/>
        <v>0</v>
      </c>
      <c r="I61" s="49">
        <f t="shared" si="4"/>
        <v>0</v>
      </c>
      <c r="J61" s="58">
        <f t="shared" si="9"/>
        <v>0</v>
      </c>
      <c r="K61" s="49">
        <f t="shared" si="10"/>
        <v>0</v>
      </c>
      <c r="L61" s="51">
        <f t="shared" si="11"/>
        <v>0</v>
      </c>
    </row>
    <row r="62" spans="2:12" ht="12.75">
      <c r="B62" s="97">
        <f t="shared" si="5"/>
        <v>12</v>
      </c>
      <c r="C62" s="33">
        <f t="shared" si="5"/>
        <v>0</v>
      </c>
      <c r="D62" s="58">
        <f t="shared" si="5"/>
        <v>0</v>
      </c>
      <c r="E62" s="58">
        <f t="shared" si="6"/>
        <v>0</v>
      </c>
      <c r="F62" s="59">
        <f t="shared" si="7"/>
        <v>0</v>
      </c>
      <c r="G62" s="270">
        <f t="shared" si="12"/>
        <v>0</v>
      </c>
      <c r="H62" s="59">
        <f t="shared" si="8"/>
        <v>0</v>
      </c>
      <c r="I62" s="49">
        <f t="shared" si="4"/>
        <v>0</v>
      </c>
      <c r="J62" s="58">
        <f t="shared" si="9"/>
        <v>0</v>
      </c>
      <c r="K62" s="49">
        <f t="shared" si="10"/>
        <v>0</v>
      </c>
      <c r="L62" s="51">
        <f t="shared" si="11"/>
        <v>0</v>
      </c>
    </row>
    <row r="63" spans="2:12" ht="12.75">
      <c r="B63" s="97">
        <f t="shared" si="5"/>
        <v>13</v>
      </c>
      <c r="C63" s="33">
        <f t="shared" si="5"/>
        <v>0</v>
      </c>
      <c r="D63" s="58">
        <f t="shared" si="5"/>
        <v>0</v>
      </c>
      <c r="E63" s="58">
        <f t="shared" si="6"/>
        <v>0</v>
      </c>
      <c r="F63" s="59">
        <f t="shared" si="7"/>
        <v>0</v>
      </c>
      <c r="G63" s="270">
        <f t="shared" si="12"/>
        <v>0</v>
      </c>
      <c r="H63" s="59">
        <f t="shared" si="8"/>
        <v>0</v>
      </c>
      <c r="I63" s="49">
        <f t="shared" si="4"/>
        <v>0</v>
      </c>
      <c r="J63" s="58">
        <f t="shared" si="9"/>
        <v>0</v>
      </c>
      <c r="K63" s="49">
        <f t="shared" si="10"/>
        <v>0</v>
      </c>
      <c r="L63" s="51">
        <f t="shared" si="11"/>
        <v>0</v>
      </c>
    </row>
    <row r="64" spans="2:12" ht="12.75">
      <c r="B64" s="97">
        <f t="shared" si="5"/>
        <v>14</v>
      </c>
      <c r="C64" s="33">
        <f t="shared" si="5"/>
        <v>0</v>
      </c>
      <c r="D64" s="58">
        <f t="shared" si="5"/>
        <v>0</v>
      </c>
      <c r="E64" s="58">
        <f t="shared" si="6"/>
        <v>0</v>
      </c>
      <c r="F64" s="59">
        <f t="shared" si="7"/>
        <v>0</v>
      </c>
      <c r="G64" s="270">
        <f t="shared" si="12"/>
        <v>0</v>
      </c>
      <c r="H64" s="59">
        <f t="shared" si="8"/>
        <v>0</v>
      </c>
      <c r="I64" s="49">
        <f t="shared" si="4"/>
        <v>0</v>
      </c>
      <c r="J64" s="58">
        <f t="shared" si="9"/>
        <v>0</v>
      </c>
      <c r="K64" s="49">
        <f t="shared" si="10"/>
        <v>0</v>
      </c>
      <c r="L64" s="51">
        <f t="shared" si="11"/>
        <v>0</v>
      </c>
    </row>
    <row r="65" spans="2:12" ht="12.75">
      <c r="B65" s="98">
        <f t="shared" si="5"/>
        <v>15</v>
      </c>
      <c r="C65" s="60">
        <f t="shared" si="5"/>
        <v>0</v>
      </c>
      <c r="D65" s="61">
        <f t="shared" si="5"/>
        <v>0</v>
      </c>
      <c r="E65" s="61">
        <f t="shared" si="6"/>
        <v>0</v>
      </c>
      <c r="F65" s="62">
        <f t="shared" si="7"/>
        <v>0</v>
      </c>
      <c r="G65" s="271">
        <f t="shared" si="12"/>
        <v>0</v>
      </c>
      <c r="H65" s="62">
        <f t="shared" si="8"/>
        <v>0</v>
      </c>
      <c r="I65" s="50">
        <f t="shared" si="4"/>
        <v>0</v>
      </c>
      <c r="J65" s="61">
        <f t="shared" si="9"/>
        <v>0</v>
      </c>
      <c r="K65" s="50">
        <f t="shared" si="10"/>
        <v>0</v>
      </c>
      <c r="L65" s="52">
        <f t="shared" si="11"/>
        <v>0</v>
      </c>
    </row>
    <row r="66" spans="2:11" ht="12.75">
      <c r="B66" s="28"/>
      <c r="C66" s="15"/>
      <c r="F66" s="30"/>
      <c r="G66" s="30"/>
      <c r="H66" s="29"/>
      <c r="J66" s="29"/>
      <c r="K66" s="29"/>
    </row>
    <row r="67" spans="2:10" ht="15">
      <c r="B67" s="71" t="s">
        <v>67</v>
      </c>
      <c r="H67" s="31">
        <f>IF(K51&gt;3,"   *One or more groups exceeds 3 hrs milking/day","")</f>
      </c>
      <c r="I67" s="31"/>
      <c r="J67" s="31">
        <f>IF(MAX(K51:K65)&gt;3,"   *One or more groups exceeds 3 hrs milking/day","")</f>
      </c>
    </row>
    <row r="68" spans="2:4" ht="12.75">
      <c r="B68" s="218"/>
      <c r="C68" s="219" t="s">
        <v>56</v>
      </c>
      <c r="D68" s="183" t="s">
        <v>69</v>
      </c>
    </row>
    <row r="69" spans="2:4" ht="12.75">
      <c r="B69" s="184" t="s">
        <v>53</v>
      </c>
      <c r="C69" s="220" t="s">
        <v>55</v>
      </c>
      <c r="D69" s="186" t="s">
        <v>70</v>
      </c>
    </row>
    <row r="70" spans="2:4" ht="12.75">
      <c r="B70" s="187" t="s">
        <v>11</v>
      </c>
      <c r="C70" s="287" t="s">
        <v>66</v>
      </c>
      <c r="D70" s="186" t="s">
        <v>71</v>
      </c>
    </row>
    <row r="71" spans="2:5" ht="12.75">
      <c r="B71" s="93">
        <f>B16</f>
        <v>1</v>
      </c>
      <c r="C71" s="286">
        <f>SUMIF(E51:E65,B71,L51:L65)</f>
        <v>21.333333333333332</v>
      </c>
      <c r="D71" s="64">
        <f>D16-C71</f>
        <v>0.6666666666666679</v>
      </c>
      <c r="E71" s="31">
        <f>IF(C71&gt;D16,"   Parlor time exceeds maximum","")</f>
      </c>
    </row>
    <row r="72" spans="2:5" ht="12.75">
      <c r="B72" s="94">
        <f>B17</f>
        <v>2</v>
      </c>
      <c r="C72" s="286">
        <f>SUMIF(E51:E65,B72,L51:L65)</f>
        <v>0</v>
      </c>
      <c r="D72" s="66">
        <f>D17-C72</f>
        <v>8</v>
      </c>
      <c r="E72" s="31">
        <f>IF(C72&gt;D17,"   Parlor time exceeds maximum","")</f>
      </c>
    </row>
    <row r="73" spans="2:5" ht="12.75">
      <c r="B73" s="95">
        <f>B18</f>
        <v>3</v>
      </c>
      <c r="C73" s="288">
        <f>SUMIF(E51:E65,B73,L51:L65)</f>
        <v>0</v>
      </c>
      <c r="D73" s="68">
        <f>D18-C73</f>
        <v>0</v>
      </c>
      <c r="E73" s="31">
        <f>IF(C73&gt;D18,"   Parlor time exceeds maximum","")</f>
      </c>
    </row>
    <row r="74" ht="12.75">
      <c r="D74" s="31">
        <f>IF(MIN(D71:D73)&lt;0,"   *Parlor time exceeds maximum","")</f>
      </c>
    </row>
    <row r="75" ht="12.75">
      <c r="B75" s="13"/>
    </row>
    <row r="76" ht="17.25">
      <c r="A76" s="72" t="s">
        <v>8</v>
      </c>
    </row>
    <row r="77" spans="1:16" ht="16.5" customHeight="1">
      <c r="A77" s="72" t="s">
        <v>43</v>
      </c>
      <c r="E77" s="10"/>
      <c r="F77" s="10"/>
      <c r="G77" s="10"/>
      <c r="H77" s="10"/>
      <c r="I77" s="10"/>
      <c r="J77" s="10"/>
      <c r="K77" s="2"/>
      <c r="L77" s="2"/>
      <c r="M77" s="2"/>
      <c r="N77" s="2"/>
      <c r="O77" s="2"/>
      <c r="P77" s="2"/>
    </row>
    <row r="78" spans="2:16" ht="12.75" customHeight="1">
      <c r="B78" s="221"/>
      <c r="C78" s="182"/>
      <c r="D78" s="222"/>
      <c r="E78" s="223"/>
      <c r="F78" s="224"/>
      <c r="G78" s="225" t="s">
        <v>48</v>
      </c>
      <c r="H78" s="226"/>
      <c r="I78" s="226"/>
      <c r="J78" s="222"/>
      <c r="K78" s="2"/>
      <c r="L78" s="2"/>
      <c r="M78" s="2"/>
      <c r="N78" s="2"/>
      <c r="O78" s="2"/>
      <c r="P78" s="2"/>
    </row>
    <row r="79" spans="2:10" ht="12.75" customHeight="1">
      <c r="B79" s="227"/>
      <c r="C79" s="224"/>
      <c r="D79" s="228"/>
      <c r="E79" s="223"/>
      <c r="F79" s="226"/>
      <c r="G79" s="226"/>
      <c r="H79" s="226"/>
      <c r="I79" s="226"/>
      <c r="J79" s="228"/>
    </row>
    <row r="80" spans="2:10" ht="12.75" customHeight="1">
      <c r="B80" s="229"/>
      <c r="C80" s="185" t="s">
        <v>20</v>
      </c>
      <c r="D80" s="186" t="s">
        <v>0</v>
      </c>
      <c r="E80" s="230" t="s">
        <v>32</v>
      </c>
      <c r="F80" s="231" t="s">
        <v>17</v>
      </c>
      <c r="G80" s="231" t="s">
        <v>46</v>
      </c>
      <c r="H80" s="231" t="s">
        <v>36</v>
      </c>
      <c r="I80" s="231" t="s">
        <v>26</v>
      </c>
      <c r="J80" s="186" t="s">
        <v>50</v>
      </c>
    </row>
    <row r="81" spans="2:10" ht="12.75">
      <c r="B81" s="230" t="s">
        <v>0</v>
      </c>
      <c r="C81" s="185" t="s">
        <v>21</v>
      </c>
      <c r="D81" s="186" t="s">
        <v>22</v>
      </c>
      <c r="E81" s="230" t="s">
        <v>44</v>
      </c>
      <c r="F81" s="231" t="s">
        <v>18</v>
      </c>
      <c r="G81" s="231" t="s">
        <v>47</v>
      </c>
      <c r="H81" s="231" t="s">
        <v>47</v>
      </c>
      <c r="I81" s="231" t="s">
        <v>49</v>
      </c>
      <c r="J81" s="186" t="s">
        <v>49</v>
      </c>
    </row>
    <row r="82" spans="2:10" ht="12.75">
      <c r="B82" s="232" t="s">
        <v>9</v>
      </c>
      <c r="C82" s="188" t="s">
        <v>11</v>
      </c>
      <c r="D82" s="189" t="s">
        <v>11</v>
      </c>
      <c r="E82" s="232" t="s">
        <v>45</v>
      </c>
      <c r="F82" s="188" t="s">
        <v>45</v>
      </c>
      <c r="G82" s="188" t="s">
        <v>45</v>
      </c>
      <c r="H82" s="188" t="s">
        <v>45</v>
      </c>
      <c r="I82" s="188" t="s">
        <v>45</v>
      </c>
      <c r="J82" s="189" t="s">
        <v>45</v>
      </c>
    </row>
    <row r="83" spans="2:10" ht="12.75">
      <c r="B83" s="93">
        <f>B28</f>
        <v>1</v>
      </c>
      <c r="C83" s="55">
        <f>C28</f>
        <v>8</v>
      </c>
      <c r="D83" s="55">
        <f>D28</f>
        <v>480</v>
      </c>
      <c r="E83" s="41">
        <f>IF(C83*D83&gt;0,K28*J28,0)</f>
        <v>3.8150000000000004</v>
      </c>
      <c r="F83" s="35">
        <f>IF(AND(H28&gt;0,C83*D83&gt;0),CHOOSE(H28,G$16*G28,G$17*G28,G$18*G28),0)</f>
        <v>0.15000000000000002</v>
      </c>
      <c r="G83" s="35">
        <f>IF(AND(H28&gt;0,C83*D83&gt;0),CHOOSE(H28,K51*E$16*F$16/D51,K51*E$17*F$17/D51,K51*E$18*F$18/D51),0)</f>
        <v>0.2222222222222222</v>
      </c>
      <c r="H83" s="35">
        <f>SUM(E83:G83)</f>
        <v>4.187222222222222</v>
      </c>
      <c r="I83" s="35">
        <f>IF(C83*D83&gt;0,(F28/100)*L28,0)</f>
        <v>10.5</v>
      </c>
      <c r="J83" s="36">
        <f>I83-H83</f>
        <v>6.312777777777778</v>
      </c>
    </row>
    <row r="84" spans="2:10" ht="12.75">
      <c r="B84" s="94">
        <f aca="true" t="shared" si="13" ref="B84:D86">B29</f>
        <v>2</v>
      </c>
      <c r="C84" s="33">
        <f t="shared" si="13"/>
        <v>0</v>
      </c>
      <c r="D84" s="33">
        <f t="shared" si="13"/>
        <v>480</v>
      </c>
      <c r="E84" s="43">
        <f aca="true" t="shared" si="14" ref="E84:E97">IF(C84*D84&gt;0,K29*J29,0)</f>
        <v>0</v>
      </c>
      <c r="F84" s="44">
        <f aca="true" t="shared" si="15" ref="F84:F97">IF(AND(H29&gt;0,C84*D84&gt;0),CHOOSE(H29,G$16*G29,G$17*G29,G$18*G29),0)</f>
        <v>0</v>
      </c>
      <c r="G84" s="44">
        <f aca="true" t="shared" si="16" ref="G84:G97">IF(AND(H29&gt;0,C84*D84&gt;0),CHOOSE(H29,K52*E$16*F$16/D52,K52*E$17*F$17/D52,K52*E$18*F$18/D52),0)</f>
        <v>0</v>
      </c>
      <c r="H84" s="44">
        <f aca="true" t="shared" si="17" ref="H84:H97">SUM(E84:G84)</f>
        <v>0</v>
      </c>
      <c r="I84" s="44">
        <f aca="true" t="shared" si="18" ref="I84:I97">IF(C84*D84&gt;0,(F29/100)*L29,0)</f>
        <v>0</v>
      </c>
      <c r="J84" s="45">
        <f aca="true" t="shared" si="19" ref="J84:J97">I84-H84</f>
        <v>0</v>
      </c>
    </row>
    <row r="85" spans="2:10" ht="12.75">
      <c r="B85" s="94">
        <f t="shared" si="13"/>
        <v>3</v>
      </c>
      <c r="C85" s="33">
        <f t="shared" si="13"/>
        <v>0</v>
      </c>
      <c r="D85" s="33">
        <f t="shared" si="13"/>
        <v>480</v>
      </c>
      <c r="E85" s="43">
        <f t="shared" si="14"/>
        <v>0</v>
      </c>
      <c r="F85" s="44">
        <f t="shared" si="15"/>
        <v>0</v>
      </c>
      <c r="G85" s="44">
        <f t="shared" si="16"/>
        <v>0</v>
      </c>
      <c r="H85" s="44">
        <f t="shared" si="17"/>
        <v>0</v>
      </c>
      <c r="I85" s="44">
        <f t="shared" si="18"/>
        <v>0</v>
      </c>
      <c r="J85" s="45">
        <f t="shared" si="19"/>
        <v>0</v>
      </c>
    </row>
    <row r="86" spans="2:10" ht="12.75">
      <c r="B86" s="94">
        <f t="shared" si="13"/>
        <v>4</v>
      </c>
      <c r="C86" s="33">
        <f t="shared" si="13"/>
        <v>0</v>
      </c>
      <c r="D86" s="33">
        <f t="shared" si="13"/>
        <v>480</v>
      </c>
      <c r="E86" s="43">
        <f t="shared" si="14"/>
        <v>0</v>
      </c>
      <c r="F86" s="44">
        <f t="shared" si="15"/>
        <v>0</v>
      </c>
      <c r="G86" s="44">
        <f t="shared" si="16"/>
        <v>0</v>
      </c>
      <c r="H86" s="44">
        <f t="shared" si="17"/>
        <v>0</v>
      </c>
      <c r="I86" s="44">
        <f t="shared" si="18"/>
        <v>0</v>
      </c>
      <c r="J86" s="45">
        <f t="shared" si="19"/>
        <v>0</v>
      </c>
    </row>
    <row r="87" spans="2:10" ht="12.75">
      <c r="B87" s="94">
        <f>B32</f>
        <v>5</v>
      </c>
      <c r="C87" s="33">
        <f>C32</f>
        <v>0</v>
      </c>
      <c r="D87" s="33">
        <f>D32</f>
        <v>480</v>
      </c>
      <c r="E87" s="43">
        <f t="shared" si="14"/>
        <v>0</v>
      </c>
      <c r="F87" s="44">
        <f t="shared" si="15"/>
        <v>0</v>
      </c>
      <c r="G87" s="44">
        <f t="shared" si="16"/>
        <v>0</v>
      </c>
      <c r="H87" s="44">
        <f t="shared" si="17"/>
        <v>0</v>
      </c>
      <c r="I87" s="44">
        <f t="shared" si="18"/>
        <v>0</v>
      </c>
      <c r="J87" s="45">
        <f t="shared" si="19"/>
        <v>0</v>
      </c>
    </row>
    <row r="88" spans="2:10" ht="12.75">
      <c r="B88" s="94">
        <f aca="true" t="shared" si="20" ref="B88:D97">B33</f>
        <v>6</v>
      </c>
      <c r="C88" s="33">
        <f t="shared" si="20"/>
        <v>0</v>
      </c>
      <c r="D88" s="33">
        <f t="shared" si="20"/>
        <v>480</v>
      </c>
      <c r="E88" s="43">
        <f t="shared" si="14"/>
        <v>0</v>
      </c>
      <c r="F88" s="44">
        <f t="shared" si="15"/>
        <v>0</v>
      </c>
      <c r="G88" s="44">
        <f t="shared" si="16"/>
        <v>0</v>
      </c>
      <c r="H88" s="44">
        <f t="shared" si="17"/>
        <v>0</v>
      </c>
      <c r="I88" s="44">
        <f t="shared" si="18"/>
        <v>0</v>
      </c>
      <c r="J88" s="45">
        <f t="shared" si="19"/>
        <v>0</v>
      </c>
    </row>
    <row r="89" spans="2:10" ht="12.75">
      <c r="B89" s="94">
        <f t="shared" si="20"/>
        <v>7</v>
      </c>
      <c r="C89" s="33">
        <f t="shared" si="20"/>
        <v>0</v>
      </c>
      <c r="D89" s="33">
        <f t="shared" si="20"/>
        <v>480</v>
      </c>
      <c r="E89" s="43">
        <f t="shared" si="14"/>
        <v>0</v>
      </c>
      <c r="F89" s="44">
        <f t="shared" si="15"/>
        <v>0</v>
      </c>
      <c r="G89" s="44">
        <f t="shared" si="16"/>
        <v>0</v>
      </c>
      <c r="H89" s="44">
        <f t="shared" si="17"/>
        <v>0</v>
      </c>
      <c r="I89" s="44">
        <f t="shared" si="18"/>
        <v>0</v>
      </c>
      <c r="J89" s="45">
        <f t="shared" si="19"/>
        <v>0</v>
      </c>
    </row>
    <row r="90" spans="2:10" ht="12.75">
      <c r="B90" s="94">
        <f t="shared" si="20"/>
        <v>8</v>
      </c>
      <c r="C90" s="33">
        <f t="shared" si="20"/>
        <v>0</v>
      </c>
      <c r="D90" s="33">
        <f t="shared" si="20"/>
        <v>480</v>
      </c>
      <c r="E90" s="43">
        <f t="shared" si="14"/>
        <v>0</v>
      </c>
      <c r="F90" s="44">
        <f t="shared" si="15"/>
        <v>0</v>
      </c>
      <c r="G90" s="44">
        <f t="shared" si="16"/>
        <v>0</v>
      </c>
      <c r="H90" s="44">
        <f t="shared" si="17"/>
        <v>0</v>
      </c>
      <c r="I90" s="44">
        <f t="shared" si="18"/>
        <v>0</v>
      </c>
      <c r="J90" s="45">
        <f t="shared" si="19"/>
        <v>0</v>
      </c>
    </row>
    <row r="91" spans="2:10" ht="12.75">
      <c r="B91" s="94">
        <f t="shared" si="20"/>
        <v>9</v>
      </c>
      <c r="C91" s="33">
        <f t="shared" si="20"/>
        <v>0</v>
      </c>
      <c r="D91" s="33">
        <f t="shared" si="20"/>
        <v>0</v>
      </c>
      <c r="E91" s="43">
        <f t="shared" si="14"/>
        <v>0</v>
      </c>
      <c r="F91" s="44">
        <f t="shared" si="15"/>
        <v>0</v>
      </c>
      <c r="G91" s="44">
        <f t="shared" si="16"/>
        <v>0</v>
      </c>
      <c r="H91" s="44">
        <f t="shared" si="17"/>
        <v>0</v>
      </c>
      <c r="I91" s="44">
        <f t="shared" si="18"/>
        <v>0</v>
      </c>
      <c r="J91" s="45">
        <f t="shared" si="19"/>
        <v>0</v>
      </c>
    </row>
    <row r="92" spans="2:10" ht="12.75">
      <c r="B92" s="94">
        <f t="shared" si="20"/>
        <v>10</v>
      </c>
      <c r="C92" s="33">
        <f t="shared" si="20"/>
        <v>0</v>
      </c>
      <c r="D92" s="33">
        <f t="shared" si="20"/>
        <v>0</v>
      </c>
      <c r="E92" s="43">
        <f t="shared" si="14"/>
        <v>0</v>
      </c>
      <c r="F92" s="44">
        <f t="shared" si="15"/>
        <v>0</v>
      </c>
      <c r="G92" s="44">
        <f t="shared" si="16"/>
        <v>0</v>
      </c>
      <c r="H92" s="44">
        <f t="shared" si="17"/>
        <v>0</v>
      </c>
      <c r="I92" s="44">
        <f t="shared" si="18"/>
        <v>0</v>
      </c>
      <c r="J92" s="45">
        <f t="shared" si="19"/>
        <v>0</v>
      </c>
    </row>
    <row r="93" spans="2:10" ht="12.75">
      <c r="B93" s="94">
        <f t="shared" si="20"/>
        <v>11</v>
      </c>
      <c r="C93" s="33">
        <f t="shared" si="20"/>
        <v>0</v>
      </c>
      <c r="D93" s="33">
        <f t="shared" si="20"/>
        <v>0</v>
      </c>
      <c r="E93" s="43">
        <f t="shared" si="14"/>
        <v>0</v>
      </c>
      <c r="F93" s="44">
        <f t="shared" si="15"/>
        <v>0</v>
      </c>
      <c r="G93" s="44">
        <f t="shared" si="16"/>
        <v>0</v>
      </c>
      <c r="H93" s="44">
        <f t="shared" si="17"/>
        <v>0</v>
      </c>
      <c r="I93" s="44">
        <f t="shared" si="18"/>
        <v>0</v>
      </c>
      <c r="J93" s="45">
        <f t="shared" si="19"/>
        <v>0</v>
      </c>
    </row>
    <row r="94" spans="2:10" ht="12.75">
      <c r="B94" s="94">
        <f t="shared" si="20"/>
        <v>12</v>
      </c>
      <c r="C94" s="33">
        <f t="shared" si="20"/>
        <v>0</v>
      </c>
      <c r="D94" s="33">
        <f t="shared" si="20"/>
        <v>0</v>
      </c>
      <c r="E94" s="43">
        <f t="shared" si="14"/>
        <v>0</v>
      </c>
      <c r="F94" s="44">
        <f t="shared" si="15"/>
        <v>0</v>
      </c>
      <c r="G94" s="44">
        <f t="shared" si="16"/>
        <v>0</v>
      </c>
      <c r="H94" s="44">
        <f t="shared" si="17"/>
        <v>0</v>
      </c>
      <c r="I94" s="44">
        <f t="shared" si="18"/>
        <v>0</v>
      </c>
      <c r="J94" s="45">
        <f t="shared" si="19"/>
        <v>0</v>
      </c>
    </row>
    <row r="95" spans="2:10" ht="12.75">
      <c r="B95" s="94">
        <f t="shared" si="20"/>
        <v>13</v>
      </c>
      <c r="C95" s="33">
        <f t="shared" si="20"/>
        <v>0</v>
      </c>
      <c r="D95" s="33">
        <f t="shared" si="20"/>
        <v>0</v>
      </c>
      <c r="E95" s="43">
        <f t="shared" si="14"/>
        <v>0</v>
      </c>
      <c r="F95" s="44">
        <f t="shared" si="15"/>
        <v>0</v>
      </c>
      <c r="G95" s="44">
        <f t="shared" si="16"/>
        <v>0</v>
      </c>
      <c r="H95" s="44">
        <f t="shared" si="17"/>
        <v>0</v>
      </c>
      <c r="I95" s="44">
        <f t="shared" si="18"/>
        <v>0</v>
      </c>
      <c r="J95" s="45">
        <f t="shared" si="19"/>
        <v>0</v>
      </c>
    </row>
    <row r="96" spans="2:10" ht="12.75">
      <c r="B96" s="94">
        <f t="shared" si="20"/>
        <v>14</v>
      </c>
      <c r="C96" s="33">
        <f t="shared" si="20"/>
        <v>0</v>
      </c>
      <c r="D96" s="33">
        <f t="shared" si="20"/>
        <v>0</v>
      </c>
      <c r="E96" s="43">
        <f t="shared" si="14"/>
        <v>0</v>
      </c>
      <c r="F96" s="44">
        <f t="shared" si="15"/>
        <v>0</v>
      </c>
      <c r="G96" s="44">
        <f t="shared" si="16"/>
        <v>0</v>
      </c>
      <c r="H96" s="44">
        <f t="shared" si="17"/>
        <v>0</v>
      </c>
      <c r="I96" s="44">
        <f t="shared" si="18"/>
        <v>0</v>
      </c>
      <c r="J96" s="45">
        <f t="shared" si="19"/>
        <v>0</v>
      </c>
    </row>
    <row r="97" spans="2:10" ht="12.75">
      <c r="B97" s="95">
        <f t="shared" si="20"/>
        <v>15</v>
      </c>
      <c r="C97" s="60">
        <f t="shared" si="20"/>
        <v>0</v>
      </c>
      <c r="D97" s="60">
        <f t="shared" si="20"/>
        <v>0</v>
      </c>
      <c r="E97" s="46">
        <f t="shared" si="14"/>
        <v>0</v>
      </c>
      <c r="F97" s="47">
        <f t="shared" si="15"/>
        <v>0</v>
      </c>
      <c r="G97" s="47">
        <f t="shared" si="16"/>
        <v>0</v>
      </c>
      <c r="H97" s="47">
        <f t="shared" si="17"/>
        <v>0</v>
      </c>
      <c r="I97" s="47">
        <f t="shared" si="18"/>
        <v>0</v>
      </c>
      <c r="J97" s="48">
        <f t="shared" si="19"/>
        <v>0</v>
      </c>
    </row>
    <row r="98" spans="2:10" ht="12.75">
      <c r="B98" s="15"/>
      <c r="C98" s="233" t="s">
        <v>20</v>
      </c>
      <c r="D98" s="234" t="s">
        <v>68</v>
      </c>
      <c r="E98" s="2"/>
      <c r="F98" s="2"/>
      <c r="G98" s="2"/>
      <c r="H98" s="2"/>
      <c r="I98" s="2"/>
      <c r="J98" s="2"/>
    </row>
    <row r="99" spans="2:10" ht="12.75">
      <c r="B99" s="13"/>
      <c r="C99" s="136">
        <f>SUM(C83:C97)</f>
        <v>8</v>
      </c>
      <c r="D99" s="137">
        <f>SUMPRODUCT(C83:C97,D83:D97)</f>
        <v>3840</v>
      </c>
      <c r="E99" s="2"/>
      <c r="F99" s="2"/>
      <c r="G99" s="2"/>
      <c r="H99" s="2"/>
      <c r="I99" s="2"/>
      <c r="J99" s="13"/>
    </row>
    <row r="100" spans="2:10" ht="12.75">
      <c r="B100" s="13"/>
      <c r="C100" s="337"/>
      <c r="D100" s="337"/>
      <c r="E100" s="2"/>
      <c r="F100" s="2"/>
      <c r="G100" s="2"/>
      <c r="H100" s="2"/>
      <c r="I100" s="2"/>
      <c r="J100" s="13"/>
    </row>
    <row r="101" spans="2:16" ht="12.75">
      <c r="B101" s="13"/>
      <c r="C101" s="13"/>
      <c r="D101" s="18"/>
      <c r="E101" s="2"/>
      <c r="F101" s="2"/>
      <c r="G101" s="2"/>
      <c r="H101" s="2"/>
      <c r="I101" s="2"/>
      <c r="J101" s="13"/>
      <c r="K101" s="17"/>
      <c r="L101" s="17"/>
      <c r="M101" s="17"/>
      <c r="N101" s="17"/>
      <c r="O101" s="17"/>
      <c r="P101" s="17"/>
    </row>
    <row r="102" spans="2:16" ht="12.75">
      <c r="B102" s="235"/>
      <c r="C102" s="181"/>
      <c r="D102" s="236"/>
      <c r="E102" s="182"/>
      <c r="F102" s="182"/>
      <c r="G102" s="237" t="s">
        <v>84</v>
      </c>
      <c r="H102" s="182"/>
      <c r="I102" s="182"/>
      <c r="J102" s="222"/>
      <c r="K102" s="17"/>
      <c r="L102" s="17"/>
      <c r="M102" s="17"/>
      <c r="N102" s="17"/>
      <c r="O102" s="17"/>
      <c r="P102" s="17"/>
    </row>
    <row r="103" spans="2:16" ht="12.75">
      <c r="B103" s="230"/>
      <c r="C103" s="185"/>
      <c r="D103" s="238"/>
      <c r="E103" s="224"/>
      <c r="F103" s="224"/>
      <c r="G103" s="224"/>
      <c r="H103" s="224"/>
      <c r="I103" s="224"/>
      <c r="J103" s="228"/>
      <c r="K103" s="17"/>
      <c r="L103" s="17"/>
      <c r="M103" s="17"/>
      <c r="N103" s="17"/>
      <c r="O103" s="17"/>
      <c r="P103" s="17"/>
    </row>
    <row r="104" spans="2:16" ht="12.75">
      <c r="B104" s="230"/>
      <c r="C104" s="185" t="s">
        <v>20</v>
      </c>
      <c r="D104" s="186" t="s">
        <v>0</v>
      </c>
      <c r="E104" s="185" t="s">
        <v>32</v>
      </c>
      <c r="F104" s="185" t="s">
        <v>17</v>
      </c>
      <c r="G104" s="185" t="s">
        <v>46</v>
      </c>
      <c r="H104" s="185" t="s">
        <v>36</v>
      </c>
      <c r="I104" s="185" t="s">
        <v>26</v>
      </c>
      <c r="J104" s="186" t="s">
        <v>50</v>
      </c>
      <c r="K104" s="17"/>
      <c r="L104" s="17"/>
      <c r="M104" s="17"/>
      <c r="N104" s="17"/>
      <c r="O104" s="17"/>
      <c r="P104" s="17"/>
    </row>
    <row r="105" spans="2:16" ht="12.75">
      <c r="B105" s="230" t="s">
        <v>0</v>
      </c>
      <c r="C105" s="185" t="s">
        <v>21</v>
      </c>
      <c r="D105" s="186" t="s">
        <v>22</v>
      </c>
      <c r="E105" s="185" t="s">
        <v>44</v>
      </c>
      <c r="F105" s="185" t="s">
        <v>18</v>
      </c>
      <c r="G105" s="185" t="s">
        <v>47</v>
      </c>
      <c r="H105" s="185" t="s">
        <v>47</v>
      </c>
      <c r="I105" s="185" t="s">
        <v>49</v>
      </c>
      <c r="J105" s="186" t="s">
        <v>49</v>
      </c>
      <c r="K105" s="17"/>
      <c r="L105" s="17"/>
      <c r="M105" s="17"/>
      <c r="N105" s="17"/>
      <c r="O105" s="17"/>
      <c r="P105" s="17"/>
    </row>
    <row r="106" spans="2:16" ht="12.75">
      <c r="B106" s="232" t="s">
        <v>9</v>
      </c>
      <c r="C106" s="188" t="s">
        <v>11</v>
      </c>
      <c r="D106" s="189" t="s">
        <v>11</v>
      </c>
      <c r="E106" s="188" t="s">
        <v>51</v>
      </c>
      <c r="F106" s="188" t="s">
        <v>51</v>
      </c>
      <c r="G106" s="188" t="s">
        <v>51</v>
      </c>
      <c r="H106" s="188" t="s">
        <v>51</v>
      </c>
      <c r="I106" s="188" t="s">
        <v>51</v>
      </c>
      <c r="J106" s="189" t="s">
        <v>51</v>
      </c>
      <c r="K106" s="17"/>
      <c r="L106" s="17"/>
      <c r="M106" s="17"/>
      <c r="N106" s="17"/>
      <c r="O106" s="17"/>
      <c r="P106" s="17"/>
    </row>
    <row r="107" spans="2:16" ht="12.75">
      <c r="B107" s="93">
        <f>B83</f>
        <v>1</v>
      </c>
      <c r="C107" s="55">
        <f>C83</f>
        <v>8</v>
      </c>
      <c r="D107" s="55">
        <f>D83</f>
        <v>480</v>
      </c>
      <c r="E107" s="42">
        <f aca="true" t="shared" si="21" ref="E107:I108">$D83*E83*365</f>
        <v>668388.0000000001</v>
      </c>
      <c r="F107" s="37">
        <f t="shared" si="21"/>
        <v>26280.000000000004</v>
      </c>
      <c r="G107" s="37">
        <f t="shared" si="21"/>
        <v>38933.33333333333</v>
      </c>
      <c r="H107" s="37">
        <f t="shared" si="21"/>
        <v>733601.3333333333</v>
      </c>
      <c r="I107" s="37">
        <f t="shared" si="21"/>
        <v>1839600</v>
      </c>
      <c r="J107" s="34">
        <f>I107-H107</f>
        <v>1105998.6666666667</v>
      </c>
      <c r="K107" s="17"/>
      <c r="L107" s="17"/>
      <c r="M107" s="17"/>
      <c r="N107" s="17"/>
      <c r="O107" s="17"/>
      <c r="P107" s="17"/>
    </row>
    <row r="108" spans="2:16" ht="12.75">
      <c r="B108" s="94">
        <f>B84</f>
        <v>2</v>
      </c>
      <c r="C108" s="33">
        <f aca="true" t="shared" si="22" ref="C108:D110">C84</f>
        <v>0</v>
      </c>
      <c r="D108" s="33">
        <f t="shared" si="22"/>
        <v>480</v>
      </c>
      <c r="E108" s="86">
        <f t="shared" si="21"/>
        <v>0</v>
      </c>
      <c r="F108" s="87">
        <f t="shared" si="21"/>
        <v>0</v>
      </c>
      <c r="G108" s="87">
        <f t="shared" si="21"/>
        <v>0</v>
      </c>
      <c r="H108" s="87">
        <f t="shared" si="21"/>
        <v>0</v>
      </c>
      <c r="I108" s="87">
        <f t="shared" si="21"/>
        <v>0</v>
      </c>
      <c r="J108" s="88">
        <f>I108-H108</f>
        <v>0</v>
      </c>
      <c r="K108" s="17"/>
      <c r="L108" s="17"/>
      <c r="M108" s="17"/>
      <c r="N108" s="17"/>
      <c r="O108" s="17"/>
      <c r="P108" s="17"/>
    </row>
    <row r="109" spans="2:16" ht="12.75">
      <c r="B109" s="94">
        <f>B85</f>
        <v>3</v>
      </c>
      <c r="C109" s="33">
        <f t="shared" si="22"/>
        <v>0</v>
      </c>
      <c r="D109" s="33">
        <f t="shared" si="22"/>
        <v>480</v>
      </c>
      <c r="E109" s="86">
        <f aca="true" t="shared" si="23" ref="E109:I119">$D85*E85*365</f>
        <v>0</v>
      </c>
      <c r="F109" s="87">
        <f t="shared" si="23"/>
        <v>0</v>
      </c>
      <c r="G109" s="87">
        <f t="shared" si="23"/>
        <v>0</v>
      </c>
      <c r="H109" s="87">
        <f t="shared" si="23"/>
        <v>0</v>
      </c>
      <c r="I109" s="87">
        <f t="shared" si="23"/>
        <v>0</v>
      </c>
      <c r="J109" s="88">
        <f>I109-H109</f>
        <v>0</v>
      </c>
      <c r="K109" s="17"/>
      <c r="L109" s="17"/>
      <c r="M109" s="17"/>
      <c r="N109" s="17"/>
      <c r="O109" s="17"/>
      <c r="P109" s="17"/>
    </row>
    <row r="110" spans="2:16" ht="12.75">
      <c r="B110" s="94">
        <f>B86</f>
        <v>4</v>
      </c>
      <c r="C110" s="33">
        <f t="shared" si="22"/>
        <v>0</v>
      </c>
      <c r="D110" s="33">
        <f t="shared" si="22"/>
        <v>480</v>
      </c>
      <c r="E110" s="86">
        <f t="shared" si="23"/>
        <v>0</v>
      </c>
      <c r="F110" s="87">
        <f t="shared" si="23"/>
        <v>0</v>
      </c>
      <c r="G110" s="87">
        <f t="shared" si="23"/>
        <v>0</v>
      </c>
      <c r="H110" s="87">
        <f t="shared" si="23"/>
        <v>0</v>
      </c>
      <c r="I110" s="87">
        <f t="shared" si="23"/>
        <v>0</v>
      </c>
      <c r="J110" s="88">
        <f>I110-H110</f>
        <v>0</v>
      </c>
      <c r="K110" s="17"/>
      <c r="L110" s="17"/>
      <c r="M110" s="17"/>
      <c r="N110" s="17"/>
      <c r="O110" s="17"/>
      <c r="P110" s="17"/>
    </row>
    <row r="111" spans="2:16" ht="12.75">
      <c r="B111" s="94">
        <f>B87</f>
        <v>5</v>
      </c>
      <c r="C111" s="33">
        <f>C87</f>
        <v>0</v>
      </c>
      <c r="D111" s="33">
        <f>D87</f>
        <v>480</v>
      </c>
      <c r="E111" s="86">
        <f t="shared" si="23"/>
        <v>0</v>
      </c>
      <c r="F111" s="87">
        <f t="shared" si="23"/>
        <v>0</v>
      </c>
      <c r="G111" s="87">
        <f t="shared" si="23"/>
        <v>0</v>
      </c>
      <c r="H111" s="87">
        <f t="shared" si="23"/>
        <v>0</v>
      </c>
      <c r="I111" s="87">
        <f t="shared" si="23"/>
        <v>0</v>
      </c>
      <c r="J111" s="88">
        <f>I111-H111</f>
        <v>0</v>
      </c>
      <c r="K111" s="17"/>
      <c r="L111" s="17"/>
      <c r="M111" s="17"/>
      <c r="N111" s="17"/>
      <c r="O111" s="17"/>
      <c r="P111" s="17"/>
    </row>
    <row r="112" spans="2:16" ht="12.75">
      <c r="B112" s="94">
        <f aca="true" t="shared" si="24" ref="B112:D121">B88</f>
        <v>6</v>
      </c>
      <c r="C112" s="33">
        <f t="shared" si="24"/>
        <v>0</v>
      </c>
      <c r="D112" s="33">
        <f t="shared" si="24"/>
        <v>480</v>
      </c>
      <c r="E112" s="86">
        <f t="shared" si="23"/>
        <v>0</v>
      </c>
      <c r="F112" s="87">
        <f t="shared" si="23"/>
        <v>0</v>
      </c>
      <c r="G112" s="87">
        <f t="shared" si="23"/>
        <v>0</v>
      </c>
      <c r="H112" s="87">
        <f t="shared" si="23"/>
        <v>0</v>
      </c>
      <c r="I112" s="87">
        <f t="shared" si="23"/>
        <v>0</v>
      </c>
      <c r="J112" s="88">
        <f aca="true" t="shared" si="25" ref="J112:J121">I112-H112</f>
        <v>0</v>
      </c>
      <c r="K112" s="17"/>
      <c r="L112" s="17"/>
      <c r="M112" s="17"/>
      <c r="N112" s="17"/>
      <c r="O112" s="17"/>
      <c r="P112" s="17"/>
    </row>
    <row r="113" spans="2:16" ht="12.75">
      <c r="B113" s="94">
        <f t="shared" si="24"/>
        <v>7</v>
      </c>
      <c r="C113" s="33">
        <f t="shared" si="24"/>
        <v>0</v>
      </c>
      <c r="D113" s="33">
        <f t="shared" si="24"/>
        <v>480</v>
      </c>
      <c r="E113" s="86">
        <f t="shared" si="23"/>
        <v>0</v>
      </c>
      <c r="F113" s="87">
        <f t="shared" si="23"/>
        <v>0</v>
      </c>
      <c r="G113" s="87">
        <f t="shared" si="23"/>
        <v>0</v>
      </c>
      <c r="H113" s="87">
        <f t="shared" si="23"/>
        <v>0</v>
      </c>
      <c r="I113" s="87">
        <f t="shared" si="23"/>
        <v>0</v>
      </c>
      <c r="J113" s="88">
        <f t="shared" si="25"/>
        <v>0</v>
      </c>
      <c r="K113" s="17"/>
      <c r="L113" s="17"/>
      <c r="M113" s="17"/>
      <c r="N113" s="17"/>
      <c r="O113" s="17"/>
      <c r="P113" s="17"/>
    </row>
    <row r="114" spans="2:16" ht="12.75">
      <c r="B114" s="94">
        <f t="shared" si="24"/>
        <v>8</v>
      </c>
      <c r="C114" s="33">
        <f t="shared" si="24"/>
        <v>0</v>
      </c>
      <c r="D114" s="33">
        <f t="shared" si="24"/>
        <v>480</v>
      </c>
      <c r="E114" s="86">
        <f t="shared" si="23"/>
        <v>0</v>
      </c>
      <c r="F114" s="87">
        <f t="shared" si="23"/>
        <v>0</v>
      </c>
      <c r="G114" s="87">
        <f t="shared" si="23"/>
        <v>0</v>
      </c>
      <c r="H114" s="87">
        <f t="shared" si="23"/>
        <v>0</v>
      </c>
      <c r="I114" s="87">
        <f t="shared" si="23"/>
        <v>0</v>
      </c>
      <c r="J114" s="88">
        <f t="shared" si="25"/>
        <v>0</v>
      </c>
      <c r="K114" s="17"/>
      <c r="L114" s="17"/>
      <c r="M114" s="17"/>
      <c r="N114" s="17"/>
      <c r="O114" s="17"/>
      <c r="P114" s="17"/>
    </row>
    <row r="115" spans="2:16" ht="12.75">
      <c r="B115" s="94">
        <f t="shared" si="24"/>
        <v>9</v>
      </c>
      <c r="C115" s="33">
        <f t="shared" si="24"/>
        <v>0</v>
      </c>
      <c r="D115" s="33">
        <f t="shared" si="24"/>
        <v>0</v>
      </c>
      <c r="E115" s="86">
        <f t="shared" si="23"/>
        <v>0</v>
      </c>
      <c r="F115" s="87">
        <f t="shared" si="23"/>
        <v>0</v>
      </c>
      <c r="G115" s="87">
        <f t="shared" si="23"/>
        <v>0</v>
      </c>
      <c r="H115" s="87">
        <f t="shared" si="23"/>
        <v>0</v>
      </c>
      <c r="I115" s="87">
        <f t="shared" si="23"/>
        <v>0</v>
      </c>
      <c r="J115" s="88">
        <f t="shared" si="25"/>
        <v>0</v>
      </c>
      <c r="K115" s="17"/>
      <c r="L115" s="17"/>
      <c r="M115" s="17"/>
      <c r="N115" s="17"/>
      <c r="O115" s="17"/>
      <c r="P115" s="17"/>
    </row>
    <row r="116" spans="2:16" ht="12.75">
      <c r="B116" s="94">
        <f t="shared" si="24"/>
        <v>10</v>
      </c>
      <c r="C116" s="33">
        <f t="shared" si="24"/>
        <v>0</v>
      </c>
      <c r="D116" s="33">
        <f t="shared" si="24"/>
        <v>0</v>
      </c>
      <c r="E116" s="86">
        <f t="shared" si="23"/>
        <v>0</v>
      </c>
      <c r="F116" s="87">
        <f t="shared" si="23"/>
        <v>0</v>
      </c>
      <c r="G116" s="87">
        <f t="shared" si="23"/>
        <v>0</v>
      </c>
      <c r="H116" s="87">
        <f t="shared" si="23"/>
        <v>0</v>
      </c>
      <c r="I116" s="87">
        <f t="shared" si="23"/>
        <v>0</v>
      </c>
      <c r="J116" s="88">
        <f t="shared" si="25"/>
        <v>0</v>
      </c>
      <c r="K116" s="17"/>
      <c r="L116" s="17"/>
      <c r="M116" s="17"/>
      <c r="N116" s="17"/>
      <c r="O116" s="17"/>
      <c r="P116" s="17"/>
    </row>
    <row r="117" spans="2:16" ht="12.75">
      <c r="B117" s="94">
        <f t="shared" si="24"/>
        <v>11</v>
      </c>
      <c r="C117" s="33">
        <f t="shared" si="24"/>
        <v>0</v>
      </c>
      <c r="D117" s="33">
        <f t="shared" si="24"/>
        <v>0</v>
      </c>
      <c r="E117" s="86">
        <f t="shared" si="23"/>
        <v>0</v>
      </c>
      <c r="F117" s="87">
        <f t="shared" si="23"/>
        <v>0</v>
      </c>
      <c r="G117" s="87">
        <f t="shared" si="23"/>
        <v>0</v>
      </c>
      <c r="H117" s="87">
        <f t="shared" si="23"/>
        <v>0</v>
      </c>
      <c r="I117" s="87">
        <f t="shared" si="23"/>
        <v>0</v>
      </c>
      <c r="J117" s="88">
        <f t="shared" si="25"/>
        <v>0</v>
      </c>
      <c r="K117" s="17"/>
      <c r="L117" s="17"/>
      <c r="M117" s="17"/>
      <c r="N117" s="17"/>
      <c r="O117" s="17"/>
      <c r="P117" s="17"/>
    </row>
    <row r="118" spans="2:16" ht="12.75">
      <c r="B118" s="94">
        <f t="shared" si="24"/>
        <v>12</v>
      </c>
      <c r="C118" s="33">
        <f t="shared" si="24"/>
        <v>0</v>
      </c>
      <c r="D118" s="33">
        <f t="shared" si="24"/>
        <v>0</v>
      </c>
      <c r="E118" s="86">
        <f t="shared" si="23"/>
        <v>0</v>
      </c>
      <c r="F118" s="87">
        <f t="shared" si="23"/>
        <v>0</v>
      </c>
      <c r="G118" s="87">
        <f t="shared" si="23"/>
        <v>0</v>
      </c>
      <c r="H118" s="87">
        <f t="shared" si="23"/>
        <v>0</v>
      </c>
      <c r="I118" s="87">
        <f t="shared" si="23"/>
        <v>0</v>
      </c>
      <c r="J118" s="88">
        <f t="shared" si="25"/>
        <v>0</v>
      </c>
      <c r="K118" s="17"/>
      <c r="L118" s="17"/>
      <c r="M118" s="17"/>
      <c r="N118" s="17"/>
      <c r="O118" s="17"/>
      <c r="P118" s="17"/>
    </row>
    <row r="119" spans="2:16" ht="12.75">
      <c r="B119" s="94">
        <f t="shared" si="24"/>
        <v>13</v>
      </c>
      <c r="C119" s="33">
        <f t="shared" si="24"/>
        <v>0</v>
      </c>
      <c r="D119" s="33">
        <f t="shared" si="24"/>
        <v>0</v>
      </c>
      <c r="E119" s="86">
        <f t="shared" si="23"/>
        <v>0</v>
      </c>
      <c r="F119" s="87">
        <f t="shared" si="23"/>
        <v>0</v>
      </c>
      <c r="G119" s="87">
        <f t="shared" si="23"/>
        <v>0</v>
      </c>
      <c r="H119" s="87">
        <f t="shared" si="23"/>
        <v>0</v>
      </c>
      <c r="I119" s="87">
        <f t="shared" si="23"/>
        <v>0</v>
      </c>
      <c r="J119" s="88">
        <f t="shared" si="25"/>
        <v>0</v>
      </c>
      <c r="K119" s="17"/>
      <c r="L119" s="17"/>
      <c r="M119" s="17"/>
      <c r="N119" s="17"/>
      <c r="O119" s="17"/>
      <c r="P119" s="17"/>
    </row>
    <row r="120" spans="2:16" ht="12.75">
      <c r="B120" s="94">
        <f t="shared" si="24"/>
        <v>14</v>
      </c>
      <c r="C120" s="33">
        <f t="shared" si="24"/>
        <v>0</v>
      </c>
      <c r="D120" s="33">
        <f t="shared" si="24"/>
        <v>0</v>
      </c>
      <c r="E120" s="86">
        <f aca="true" t="shared" si="26" ref="E120:I121">$D96*E96*365</f>
        <v>0</v>
      </c>
      <c r="F120" s="87">
        <f t="shared" si="26"/>
        <v>0</v>
      </c>
      <c r="G120" s="87">
        <f t="shared" si="26"/>
        <v>0</v>
      </c>
      <c r="H120" s="87">
        <f t="shared" si="26"/>
        <v>0</v>
      </c>
      <c r="I120" s="87">
        <f t="shared" si="26"/>
        <v>0</v>
      </c>
      <c r="J120" s="88">
        <f t="shared" si="25"/>
        <v>0</v>
      </c>
      <c r="K120" s="17"/>
      <c r="L120" s="17"/>
      <c r="M120" s="17"/>
      <c r="N120" s="17"/>
      <c r="O120" s="17"/>
      <c r="P120" s="17"/>
    </row>
    <row r="121" spans="2:16" ht="12.75">
      <c r="B121" s="95">
        <f t="shared" si="24"/>
        <v>15</v>
      </c>
      <c r="C121" s="60">
        <f t="shared" si="24"/>
        <v>0</v>
      </c>
      <c r="D121" s="60">
        <f t="shared" si="24"/>
        <v>0</v>
      </c>
      <c r="E121" s="89">
        <f t="shared" si="26"/>
        <v>0</v>
      </c>
      <c r="F121" s="90">
        <f t="shared" si="26"/>
        <v>0</v>
      </c>
      <c r="G121" s="90">
        <f t="shared" si="26"/>
        <v>0</v>
      </c>
      <c r="H121" s="90">
        <f t="shared" si="26"/>
        <v>0</v>
      </c>
      <c r="I121" s="90">
        <f t="shared" si="26"/>
        <v>0</v>
      </c>
      <c r="J121" s="91">
        <f t="shared" si="25"/>
        <v>0</v>
      </c>
      <c r="K121" s="17"/>
      <c r="L121" s="17"/>
      <c r="M121" s="17"/>
      <c r="N121" s="17"/>
      <c r="O121" s="17"/>
      <c r="P121" s="17"/>
    </row>
    <row r="122" spans="2:16" ht="12.75">
      <c r="B122" s="13"/>
      <c r="C122" s="13"/>
      <c r="D122" s="18"/>
      <c r="E122" s="27"/>
      <c r="F122" s="27"/>
      <c r="G122" s="27"/>
      <c r="H122" s="27"/>
      <c r="I122" s="27"/>
      <c r="J122" s="27"/>
      <c r="K122" s="17"/>
      <c r="L122" s="17"/>
      <c r="M122" s="17"/>
      <c r="N122" s="17"/>
      <c r="O122" s="17"/>
      <c r="P122" s="17"/>
    </row>
    <row r="123" spans="2:10" ht="12.75" customHeight="1">
      <c r="B123" s="7"/>
      <c r="D123" s="26" t="s">
        <v>85</v>
      </c>
      <c r="E123" s="139">
        <f>SUMPRODUCT(E107:E121,$C83:$C97)</f>
        <v>5347104.000000001</v>
      </c>
      <c r="F123" s="139">
        <f>SUMPRODUCT(F107:F121,$C83:$C97)</f>
        <v>210240.00000000003</v>
      </c>
      <c r="G123" s="139">
        <f>SUMPRODUCT(G107:G121,$C83:$C97)</f>
        <v>311466.6666666666</v>
      </c>
      <c r="H123" s="139">
        <f>SUMPRODUCT(H107:H121,$C83:$C97)</f>
        <v>5868810.666666666</v>
      </c>
      <c r="I123" s="139">
        <f>SUMPRODUCT(I107:I121,$C83:$C97)</f>
        <v>14716800</v>
      </c>
      <c r="J123" s="140">
        <f>SUMPRODUCT(J107:J121,C83:C97)</f>
        <v>8847989.333333334</v>
      </c>
    </row>
    <row r="124" spans="2:10" ht="12.75" customHeight="1">
      <c r="B124" s="7"/>
      <c r="D124" s="335"/>
      <c r="E124" s="336"/>
      <c r="F124" s="336"/>
      <c r="G124" s="336"/>
      <c r="H124" s="336"/>
      <c r="I124" s="336"/>
      <c r="J124" s="336"/>
    </row>
    <row r="125" spans="2:10" ht="12.75" customHeight="1">
      <c r="B125" s="7"/>
      <c r="D125" s="335"/>
      <c r="E125" s="336"/>
      <c r="F125" s="336"/>
      <c r="G125" s="336"/>
      <c r="H125" s="336"/>
      <c r="I125" s="336"/>
      <c r="J125" s="336"/>
    </row>
    <row r="126" spans="2:10" ht="12.75" customHeight="1">
      <c r="B126" s="7"/>
      <c r="D126" s="335"/>
      <c r="E126" s="336"/>
      <c r="F126" s="336"/>
      <c r="G126" s="336"/>
      <c r="H126" s="336"/>
      <c r="I126" s="336"/>
      <c r="J126" s="336"/>
    </row>
    <row r="127" spans="1:10" ht="17.25">
      <c r="A127" s="239" t="s">
        <v>37</v>
      </c>
      <c r="B127" s="226"/>
      <c r="C127" s="226"/>
      <c r="D127" s="240"/>
      <c r="E127" s="224"/>
      <c r="F127" s="2"/>
      <c r="G127" s="4"/>
      <c r="H127" s="2"/>
      <c r="I127" s="2"/>
      <c r="J127" s="2"/>
    </row>
    <row r="128" spans="1:10" ht="17.25">
      <c r="A128" s="239" t="s">
        <v>43</v>
      </c>
      <c r="B128" s="226"/>
      <c r="C128" s="226"/>
      <c r="D128" s="224"/>
      <c r="E128" s="224"/>
      <c r="F128" s="2"/>
      <c r="G128" s="2"/>
      <c r="H128" s="2"/>
      <c r="I128" s="2"/>
      <c r="J128" s="2"/>
    </row>
    <row r="129" spans="2:11" ht="12.75">
      <c r="B129" s="76" t="s">
        <v>81</v>
      </c>
      <c r="C129" s="12"/>
      <c r="D129" s="24" t="s">
        <v>82</v>
      </c>
      <c r="E129" s="38">
        <f>(K15)*(D99/(1-K16))</f>
        <v>1562.7906976744184</v>
      </c>
      <c r="F129" s="2"/>
      <c r="G129" s="2"/>
      <c r="H129" s="2"/>
      <c r="I129" s="3"/>
      <c r="J129" s="3"/>
      <c r="K129" s="3"/>
    </row>
    <row r="130" spans="2:5" ht="12.75">
      <c r="B130" s="77" t="s">
        <v>80</v>
      </c>
      <c r="C130" s="13"/>
      <c r="D130" s="11" t="s">
        <v>78</v>
      </c>
      <c r="E130" s="69">
        <f>SUMPRODUCT(C83:C97,D83:D97,E28:E42)/D99</f>
        <v>1500</v>
      </c>
    </row>
    <row r="131" spans="2:5" ht="12.75">
      <c r="B131" s="77" t="s">
        <v>76</v>
      </c>
      <c r="C131" s="13"/>
      <c r="D131" s="11" t="s">
        <v>38</v>
      </c>
      <c r="E131" s="39">
        <f>E130*K14</f>
        <v>525</v>
      </c>
    </row>
    <row r="132" spans="2:5" ht="12.75">
      <c r="B132" s="77" t="s">
        <v>75</v>
      </c>
      <c r="C132" s="13"/>
      <c r="D132" s="11" t="s">
        <v>38</v>
      </c>
      <c r="E132" s="39">
        <f>K13</f>
        <v>1800</v>
      </c>
    </row>
    <row r="133" spans="2:5" ht="12.75">
      <c r="B133" s="77" t="s">
        <v>77</v>
      </c>
      <c r="C133" s="13"/>
      <c r="D133" s="11" t="s">
        <v>52</v>
      </c>
      <c r="E133" s="39">
        <f>E132*E129</f>
        <v>2813023.255813953</v>
      </c>
    </row>
    <row r="134" spans="2:11" ht="12.75">
      <c r="B134" s="77" t="s">
        <v>79</v>
      </c>
      <c r="C134" s="13"/>
      <c r="D134" s="11" t="s">
        <v>52</v>
      </c>
      <c r="E134" s="39">
        <f>E129*E131</f>
        <v>820465.1162790697</v>
      </c>
      <c r="K134" s="138"/>
    </row>
    <row r="135" spans="2:5" ht="12.75">
      <c r="B135" s="77"/>
      <c r="C135" s="13"/>
      <c r="D135" s="11"/>
      <c r="E135" s="39"/>
    </row>
    <row r="136" spans="2:5" ht="12.75">
      <c r="B136" s="77" t="s">
        <v>74</v>
      </c>
      <c r="C136" s="13"/>
      <c r="E136" s="84"/>
    </row>
    <row r="137" spans="2:5" ht="12.75">
      <c r="B137" s="77" t="s">
        <v>75</v>
      </c>
      <c r="C137" s="13"/>
      <c r="D137" s="11" t="s">
        <v>52</v>
      </c>
      <c r="E137" s="82">
        <f>E133-E134</f>
        <v>1992558.1395348832</v>
      </c>
    </row>
    <row r="138" spans="2:5" ht="12.75">
      <c r="B138" s="77"/>
      <c r="C138" s="13"/>
      <c r="D138" s="11"/>
      <c r="E138" s="85"/>
    </row>
    <row r="139" spans="2:5" ht="12.75">
      <c r="B139" s="76" t="s">
        <v>167</v>
      </c>
      <c r="C139" s="12"/>
      <c r="D139" s="79"/>
      <c r="E139" s="83"/>
    </row>
    <row r="140" spans="2:5" ht="12.75">
      <c r="B140" s="78" t="s">
        <v>73</v>
      </c>
      <c r="C140" s="14"/>
      <c r="D140" s="80" t="s">
        <v>52</v>
      </c>
      <c r="E140" s="40">
        <f>J123-E137</f>
        <v>6855431.193798451</v>
      </c>
    </row>
  </sheetData>
  <sheetProtection sheet="1" objects="1" scenarios="1"/>
  <protectedRanges>
    <protectedRange sqref="C16:G18" name="Parlor Input"/>
    <protectedRange sqref="B28:L42" name="Group Input"/>
    <protectedRange sqref="K13:K16" name="Replacement Input"/>
  </protectedRanges>
  <conditionalFormatting sqref="C71:D71 D73 C72:C73">
    <cfRule type="cellIs" priority="1" dxfId="11" operator="greaterThan" stopIfTrue="1">
      <formula>D16</formula>
    </cfRule>
  </conditionalFormatting>
  <conditionalFormatting sqref="D72">
    <cfRule type="cellIs" priority="2" dxfId="7" operator="lessThan" stopIfTrue="1">
      <formula>0</formula>
    </cfRule>
  </conditionalFormatting>
  <conditionalFormatting sqref="K51:K65">
    <cfRule type="cellIs" priority="3" dxfId="7" operator="greaterThan" stopIfTrue="1">
      <formula>3</formula>
    </cfRule>
  </conditionalFormatting>
  <printOptions/>
  <pageMargins left="0.5" right="0.5" top="0.5" bottom="0.5" header="0.5" footer="0.5"/>
  <pageSetup fitToHeight="3" horizontalDpi="600" verticalDpi="600" orientation="landscape" scale="73" r:id="rId3"/>
  <headerFooter alignWithMargins="0">
    <oddFooter>&amp;R&amp;8Dairy Management at VA Tech
&amp;F
&amp;D</oddFooter>
  </headerFooter>
  <rowBreaks count="2" manualBreakCount="2">
    <brk id="43" max="255" man="1"/>
    <brk id="10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149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4.8515625" style="0" customWidth="1"/>
    <col min="2" max="2" width="8.57421875" style="0" customWidth="1"/>
    <col min="3" max="3" width="13.7109375" style="0" customWidth="1"/>
    <col min="4" max="4" width="14.8515625" style="0" customWidth="1"/>
    <col min="5" max="5" width="15.28125" style="0" customWidth="1"/>
    <col min="6" max="7" width="14.00390625" style="0" customWidth="1"/>
    <col min="8" max="8" width="13.8515625" style="0" customWidth="1"/>
    <col min="9" max="9" width="15.140625" style="0" customWidth="1"/>
    <col min="10" max="10" width="15.421875" style="0" bestFit="1" customWidth="1"/>
    <col min="11" max="13" width="15.57421875" style="0" customWidth="1"/>
    <col min="14" max="14" width="13.421875" style="0" bestFit="1" customWidth="1"/>
    <col min="15" max="15" width="13.8515625" style="0" customWidth="1"/>
    <col min="16" max="16" width="14.7109375" style="0" customWidth="1"/>
  </cols>
  <sheetData>
    <row r="1" spans="1:6" ht="23.25">
      <c r="A1" s="99" t="s">
        <v>87</v>
      </c>
      <c r="F1" s="353" t="s">
        <v>177</v>
      </c>
    </row>
    <row r="2" spans="1:6" s="28" customFormat="1" ht="12.75">
      <c r="A2" s="23"/>
      <c r="F2" s="155"/>
    </row>
    <row r="3" spans="1:12" s="28" customFormat="1" ht="12.75">
      <c r="A3" s="23"/>
      <c r="B3" s="153" t="s">
        <v>112</v>
      </c>
      <c r="C3" s="153" t="s">
        <v>106</v>
      </c>
      <c r="D3" s="153" t="s">
        <v>178</v>
      </c>
      <c r="E3" s="153" t="s">
        <v>107</v>
      </c>
      <c r="F3" s="153" t="s">
        <v>108</v>
      </c>
      <c r="G3" s="153" t="s">
        <v>109</v>
      </c>
      <c r="H3" s="153" t="s">
        <v>110</v>
      </c>
      <c r="I3" s="153" t="s">
        <v>144</v>
      </c>
      <c r="J3" s="153" t="s">
        <v>132</v>
      </c>
      <c r="K3" s="153" t="s">
        <v>133</v>
      </c>
      <c r="L3" s="153" t="s">
        <v>111</v>
      </c>
    </row>
    <row r="4" spans="1:13" s="28" customFormat="1" ht="12.75">
      <c r="A4" s="165" t="s">
        <v>113</v>
      </c>
      <c r="B4" s="156">
        <f>C99</f>
        <v>9</v>
      </c>
      <c r="C4" s="157">
        <f>D99</f>
        <v>4020</v>
      </c>
      <c r="D4" s="158">
        <f>MAX(C71:C73)</f>
        <v>19.666666666666668</v>
      </c>
      <c r="E4" s="157">
        <f>IF($G$23="Yes",SUMPRODUCT(C28:C42,D28:D42,M28:M42),SUMPRODUCT(C28:C42,D28:D42,F28:F42))</f>
        <v>260018.1818181818</v>
      </c>
      <c r="F4" s="157">
        <f>I123/365</f>
        <v>39002.72727272727</v>
      </c>
      <c r="G4" s="157">
        <f>E123/365</f>
        <v>14812.445454545454</v>
      </c>
      <c r="H4" s="157">
        <f>H123/365</f>
        <v>16034.11212121212</v>
      </c>
      <c r="I4" s="157">
        <f>E137/365</f>
        <v>5714.956992672826</v>
      </c>
      <c r="J4" s="157">
        <f>(J135+J136)/365</f>
        <v>117.78273335457276</v>
      </c>
      <c r="K4" s="157">
        <f>(J140+J141)/365</f>
        <v>440.51691054890716</v>
      </c>
      <c r="L4" s="157">
        <f>E149/365</f>
        <v>16695.35851493885</v>
      </c>
      <c r="M4" s="165" t="str">
        <f>A4&amp;" Now"</f>
        <v>Is Now</v>
      </c>
    </row>
    <row r="5" spans="1:13" s="28" customFormat="1" ht="12.75">
      <c r="A5" s="165" t="s">
        <v>114</v>
      </c>
      <c r="B5" s="159">
        <f>'Original Herd'!B4</f>
        <v>8</v>
      </c>
      <c r="C5" s="160">
        <f>'Original Herd'!C4</f>
        <v>3840</v>
      </c>
      <c r="D5" s="161">
        <f>'Original Herd'!D4</f>
        <v>21.333333333333332</v>
      </c>
      <c r="E5" s="160">
        <f>'Original Herd'!E4</f>
        <v>268800</v>
      </c>
      <c r="F5" s="160">
        <f>'Original Herd'!F4</f>
        <v>40320</v>
      </c>
      <c r="G5" s="160">
        <f>'Original Herd'!G4</f>
        <v>14649.600000000002</v>
      </c>
      <c r="H5" s="160">
        <f>'Original Herd'!H4</f>
        <v>16078.933333333332</v>
      </c>
      <c r="I5" s="160">
        <f>'Original Herd'!I4</f>
        <v>5459.0633959859815</v>
      </c>
      <c r="J5" s="159">
        <f>'Original Herd'!J4</f>
        <v>0</v>
      </c>
      <c r="K5" s="159">
        <f>'Original Herd'!K4</f>
        <v>0</v>
      </c>
      <c r="L5" s="160">
        <f>'Original Herd'!L4</f>
        <v>18782.00327068069</v>
      </c>
      <c r="M5" s="165" t="str">
        <f>A5</f>
        <v>Was</v>
      </c>
    </row>
    <row r="6" spans="1:13" s="28" customFormat="1" ht="12.75">
      <c r="A6" s="165" t="s">
        <v>134</v>
      </c>
      <c r="B6" s="162">
        <f>B4-B5</f>
        <v>1</v>
      </c>
      <c r="C6" s="163">
        <f aca="true" t="shared" si="0" ref="C6:L6">C4-C5</f>
        <v>180</v>
      </c>
      <c r="D6" s="164">
        <f t="shared" si="0"/>
        <v>-1.6666666666666643</v>
      </c>
      <c r="E6" s="163">
        <f t="shared" si="0"/>
        <v>-8781.818181818206</v>
      </c>
      <c r="F6" s="163">
        <f t="shared" si="0"/>
        <v>-1317.272727272728</v>
      </c>
      <c r="G6" s="163">
        <f t="shared" si="0"/>
        <v>162.8454545454515</v>
      </c>
      <c r="H6" s="163">
        <f t="shared" si="0"/>
        <v>-44.82121212121274</v>
      </c>
      <c r="I6" s="163">
        <f t="shared" si="0"/>
        <v>255.89359668684483</v>
      </c>
      <c r="J6" s="163">
        <f t="shared" si="0"/>
        <v>117.78273335457276</v>
      </c>
      <c r="K6" s="163">
        <f t="shared" si="0"/>
        <v>440.51691054890716</v>
      </c>
      <c r="L6" s="163">
        <f t="shared" si="0"/>
        <v>-2086.6447557418396</v>
      </c>
      <c r="M6" s="165" t="str">
        <f>A6</f>
        <v>Δ/d</v>
      </c>
    </row>
    <row r="7" spans="1:13" s="28" customFormat="1" ht="12.75">
      <c r="A7" s="165" t="s">
        <v>135</v>
      </c>
      <c r="B7" s="257">
        <f>B6</f>
        <v>1</v>
      </c>
      <c r="C7" s="258">
        <f>C6</f>
        <v>180</v>
      </c>
      <c r="D7" s="280">
        <f>D6</f>
        <v>-1.6666666666666643</v>
      </c>
      <c r="E7" s="259">
        <f>E6*365</f>
        <v>-3205363.636363645</v>
      </c>
      <c r="F7" s="259">
        <f aca="true" t="shared" si="1" ref="F7:L7">F6*365</f>
        <v>-480804.5454545457</v>
      </c>
      <c r="G7" s="259">
        <f t="shared" si="1"/>
        <v>59438.5909090898</v>
      </c>
      <c r="H7" s="259">
        <f t="shared" si="1"/>
        <v>-16359.74242424265</v>
      </c>
      <c r="I7" s="259">
        <f t="shared" si="1"/>
        <v>93401.16279069836</v>
      </c>
      <c r="J7" s="259">
        <f t="shared" si="1"/>
        <v>42990.697674419054</v>
      </c>
      <c r="K7" s="259">
        <f t="shared" si="1"/>
        <v>160788.67235035112</v>
      </c>
      <c r="L7" s="259">
        <f t="shared" si="1"/>
        <v>-761625.3358457715</v>
      </c>
      <c r="M7" s="165" t="str">
        <f>A7</f>
        <v>Δ/yr</v>
      </c>
    </row>
    <row r="9" spans="1:10" ht="18">
      <c r="A9" s="70" t="s">
        <v>2</v>
      </c>
      <c r="H9" s="268"/>
      <c r="I9" s="268"/>
      <c r="J9" s="268"/>
    </row>
    <row r="10" spans="1:10" ht="18">
      <c r="A10" s="70"/>
      <c r="D10" s="267"/>
      <c r="H10" s="268"/>
      <c r="I10" s="268"/>
      <c r="J10" s="268"/>
    </row>
    <row r="11" spans="2:12" ht="12.75">
      <c r="B11" s="22"/>
      <c r="L11" s="127" t="s">
        <v>89</v>
      </c>
    </row>
    <row r="12" spans="2:35" ht="15.75">
      <c r="B12" s="73" t="s">
        <v>4</v>
      </c>
      <c r="I12" s="192" t="s">
        <v>72</v>
      </c>
      <c r="J12" s="191"/>
      <c r="K12" s="191"/>
      <c r="L12" s="147" t="s">
        <v>90</v>
      </c>
      <c r="AB12" t="str">
        <f>'Original Herd'!B12</f>
        <v>Parlor Input</v>
      </c>
      <c r="AI12" t="str">
        <f>'Original Herd'!I12</f>
        <v>Replacement Input</v>
      </c>
    </row>
    <row r="13" spans="2:37" ht="12.75">
      <c r="B13" s="170"/>
      <c r="C13" s="171"/>
      <c r="D13" s="171" t="s">
        <v>142</v>
      </c>
      <c r="E13" s="171"/>
      <c r="F13" s="171" t="s">
        <v>15</v>
      </c>
      <c r="G13" s="172" t="s">
        <v>17</v>
      </c>
      <c r="H13" s="197"/>
      <c r="I13" s="21" t="s">
        <v>37</v>
      </c>
      <c r="J13" s="12" t="s">
        <v>38</v>
      </c>
      <c r="K13" s="343">
        <v>1800</v>
      </c>
      <c r="L13" s="128">
        <f>IF('Original Herd'!K13&lt;&gt;K13,'Original Herd'!K13,"")</f>
      </c>
      <c r="AD13" t="str">
        <f>'Original Herd'!D13</f>
        <v>Max Parlor Use</v>
      </c>
      <c r="AE13">
        <f>'Original Herd'!E13</f>
        <v>0</v>
      </c>
      <c r="AF13" t="str">
        <f>'Original Herd'!F13</f>
        <v>Employee</v>
      </c>
      <c r="AG13" t="str">
        <f>'Original Herd'!G13</f>
        <v>Milking</v>
      </c>
      <c r="AI13" t="str">
        <f>'Original Herd'!I13</f>
        <v>Replacement</v>
      </c>
      <c r="AJ13" t="str">
        <f>'Original Herd'!J13</f>
        <v>($/Head)</v>
      </c>
      <c r="AK13">
        <f>'Original Herd'!K13</f>
        <v>1800</v>
      </c>
    </row>
    <row r="14" spans="2:37" ht="12.75">
      <c r="B14" s="173" t="s">
        <v>5</v>
      </c>
      <c r="C14" s="174" t="s">
        <v>10</v>
      </c>
      <c r="D14" s="174" t="s">
        <v>175</v>
      </c>
      <c r="E14" s="174" t="s">
        <v>13</v>
      </c>
      <c r="F14" s="174" t="s">
        <v>104</v>
      </c>
      <c r="G14" s="175" t="s">
        <v>18</v>
      </c>
      <c r="H14" s="197"/>
      <c r="I14" s="25" t="s">
        <v>39</v>
      </c>
      <c r="J14" s="32" t="s">
        <v>40</v>
      </c>
      <c r="K14" s="339">
        <v>0.35</v>
      </c>
      <c r="L14" s="128">
        <f>IF('Original Herd'!K14&lt;&gt;K14,'Original Herd'!K14,"")</f>
      </c>
      <c r="AB14" t="str">
        <f>'Original Herd'!B14</f>
        <v>Parlor</v>
      </c>
      <c r="AC14" t="str">
        <f>'Original Herd'!C14</f>
        <v>Stalls</v>
      </c>
      <c r="AD14" t="str">
        <f>'Original Herd'!D14</f>
        <v>w/o Clean/Hosp</v>
      </c>
      <c r="AE14" t="str">
        <f>'Original Herd'!E14</f>
        <v>Employees</v>
      </c>
      <c r="AF14" t="str">
        <f>'Original Herd'!F14</f>
        <v>Wage+SS</v>
      </c>
      <c r="AG14" t="str">
        <f>'Original Herd'!G14</f>
        <v>Supplies</v>
      </c>
      <c r="AI14" t="str">
        <f>'Original Herd'!I14</f>
        <v>Cull Price</v>
      </c>
      <c r="AJ14" t="str">
        <f>'Original Herd'!J14</f>
        <v>($/Lb)</v>
      </c>
      <c r="AK14">
        <f>'Original Herd'!K14</f>
        <v>0.35</v>
      </c>
    </row>
    <row r="15" spans="2:37" ht="12.75">
      <c r="B15" s="173" t="s">
        <v>9</v>
      </c>
      <c r="C15" s="174" t="s">
        <v>11</v>
      </c>
      <c r="D15" s="174" t="s">
        <v>12</v>
      </c>
      <c r="E15" s="174" t="s">
        <v>14</v>
      </c>
      <c r="F15" s="174" t="s">
        <v>16</v>
      </c>
      <c r="G15" s="175" t="s">
        <v>19</v>
      </c>
      <c r="H15" s="197"/>
      <c r="I15" s="25" t="s">
        <v>41</v>
      </c>
      <c r="J15" s="32" t="s">
        <v>42</v>
      </c>
      <c r="K15" s="340">
        <v>0.35</v>
      </c>
      <c r="L15" s="128">
        <f>IF('Original Herd'!K15&lt;&gt;K15,'Original Herd'!K15,"")</f>
      </c>
      <c r="AB15" t="str">
        <f>'Original Herd'!B15</f>
        <v>ID</v>
      </c>
      <c r="AC15" t="str">
        <f>'Original Herd'!C15</f>
        <v>No.</v>
      </c>
      <c r="AD15" t="str">
        <f>'Original Herd'!D15</f>
        <v>Hrs/d</v>
      </c>
      <c r="AE15" t="str">
        <f>'Original Herd'!E15</f>
        <v>No./Mlkng</v>
      </c>
      <c r="AF15" t="str">
        <f>'Original Herd'!F15</f>
        <v>$/hr</v>
      </c>
      <c r="AG15" t="str">
        <f>'Original Herd'!G15</f>
        <v>$/Cow/Mlkng</v>
      </c>
      <c r="AI15" t="str">
        <f>'Original Herd'!I15</f>
        <v>Cull Rate</v>
      </c>
      <c r="AJ15" t="str">
        <f>'Original Herd'!J15</f>
        <v>(%)</v>
      </c>
      <c r="AK15">
        <f>'Original Herd'!K15</f>
        <v>0.35</v>
      </c>
    </row>
    <row r="16" spans="2:37" ht="12.75">
      <c r="B16" s="100">
        <v>1</v>
      </c>
      <c r="C16" s="296">
        <v>120</v>
      </c>
      <c r="D16" s="297">
        <v>22</v>
      </c>
      <c r="E16" s="298">
        <v>4</v>
      </c>
      <c r="F16" s="299">
        <v>10</v>
      </c>
      <c r="G16" s="300">
        <v>0.05</v>
      </c>
      <c r="H16" s="198"/>
      <c r="I16" s="20" t="s">
        <v>121</v>
      </c>
      <c r="J16" s="14" t="s">
        <v>128</v>
      </c>
      <c r="K16" s="341">
        <v>0.14</v>
      </c>
      <c r="L16" s="128">
        <f>IF('Original Herd'!K16&lt;&gt;K16,'Original Herd'!K16,"")</f>
      </c>
      <c r="AB16">
        <f>'Original Herd'!B16</f>
        <v>1</v>
      </c>
      <c r="AC16">
        <f>'Original Herd'!C16</f>
        <v>120</v>
      </c>
      <c r="AD16">
        <f>'Original Herd'!D16</f>
        <v>22</v>
      </c>
      <c r="AE16">
        <f>'Original Herd'!E16</f>
        <v>4</v>
      </c>
      <c r="AF16">
        <f>'Original Herd'!F16</f>
        <v>10</v>
      </c>
      <c r="AG16">
        <f>'Original Herd'!G16</f>
        <v>0.05</v>
      </c>
      <c r="AI16" t="str">
        <f>'Original Herd'!I16</f>
        <v>Dry Cows</v>
      </c>
      <c r="AJ16" t="str">
        <f>'Original Herd'!J16</f>
        <v>(% Dry)</v>
      </c>
      <c r="AK16">
        <f>'Original Herd'!K16</f>
        <v>0.14</v>
      </c>
    </row>
    <row r="17" spans="2:33" ht="12.75">
      <c r="B17" s="101">
        <v>2</v>
      </c>
      <c r="C17" s="301">
        <v>15</v>
      </c>
      <c r="D17" s="302">
        <v>8</v>
      </c>
      <c r="E17" s="303">
        <v>2</v>
      </c>
      <c r="F17" s="302">
        <v>10</v>
      </c>
      <c r="G17" s="304">
        <v>0.06</v>
      </c>
      <c r="H17" s="198"/>
      <c r="I17" s="32"/>
      <c r="J17" s="32"/>
      <c r="K17" s="330"/>
      <c r="L17" s="128"/>
      <c r="AB17">
        <f>'Original Herd'!B17</f>
        <v>2</v>
      </c>
      <c r="AC17">
        <f>'Original Herd'!C17</f>
        <v>15</v>
      </c>
      <c r="AD17">
        <f>'Original Herd'!D17</f>
        <v>8</v>
      </c>
      <c r="AE17">
        <f>'Original Herd'!E17</f>
        <v>2</v>
      </c>
      <c r="AF17">
        <f>'Original Herd'!F17</f>
        <v>10</v>
      </c>
      <c r="AG17">
        <f>'Original Herd'!G17</f>
        <v>0.06</v>
      </c>
    </row>
    <row r="18" spans="2:33" ht="12.75">
      <c r="B18" s="102">
        <v>3</v>
      </c>
      <c r="C18" s="305"/>
      <c r="D18" s="306"/>
      <c r="E18" s="305"/>
      <c r="F18" s="306"/>
      <c r="G18" s="307"/>
      <c r="H18" s="198"/>
      <c r="I18" s="190" t="s">
        <v>122</v>
      </c>
      <c r="J18" s="191"/>
      <c r="K18" s="191"/>
      <c r="L18" s="190" t="s">
        <v>143</v>
      </c>
      <c r="M18" s="191"/>
      <c r="N18" s="191"/>
      <c r="AB18">
        <f>'Original Herd'!B18</f>
        <v>3</v>
      </c>
      <c r="AC18">
        <f>'Original Herd'!C18</f>
        <v>0</v>
      </c>
      <c r="AD18">
        <f>'Original Herd'!D18</f>
        <v>0</v>
      </c>
      <c r="AE18">
        <f>'Original Herd'!E18</f>
        <v>0</v>
      </c>
      <c r="AF18">
        <f>'Original Herd'!F18</f>
        <v>0</v>
      </c>
      <c r="AG18">
        <f>'Original Herd'!G18</f>
        <v>0</v>
      </c>
    </row>
    <row r="19" spans="2:14" ht="12.75">
      <c r="B19" s="103"/>
      <c r="C19" s="92"/>
      <c r="D19" s="92"/>
      <c r="E19" s="92"/>
      <c r="F19" s="81"/>
      <c r="G19" s="81"/>
      <c r="I19" s="332"/>
      <c r="J19" s="331"/>
      <c r="K19" s="333"/>
      <c r="L19" s="291" t="s">
        <v>95</v>
      </c>
      <c r="M19" s="291" t="s">
        <v>115</v>
      </c>
      <c r="N19" s="292" t="s">
        <v>103</v>
      </c>
    </row>
    <row r="20" spans="2:14" ht="12.75">
      <c r="B20" s="103"/>
      <c r="C20" s="92"/>
      <c r="D20" s="92"/>
      <c r="E20" s="92"/>
      <c r="F20" s="92"/>
      <c r="G20" s="81"/>
      <c r="I20" s="21" t="s">
        <v>123</v>
      </c>
      <c r="J20" s="12" t="s">
        <v>124</v>
      </c>
      <c r="K20" s="311">
        <v>0.07</v>
      </c>
      <c r="L20" s="293" t="s">
        <v>100</v>
      </c>
      <c r="M20" s="315">
        <v>1.1</v>
      </c>
      <c r="N20" s="294">
        <f>1/M20</f>
        <v>0.9090909090909091</v>
      </c>
    </row>
    <row r="21" spans="2:14" ht="12.75">
      <c r="B21" s="103"/>
      <c r="C21" s="92"/>
      <c r="D21" s="92"/>
      <c r="E21" s="92"/>
      <c r="F21" s="81"/>
      <c r="G21" s="81"/>
      <c r="I21" s="19" t="s">
        <v>125</v>
      </c>
      <c r="J21" s="13" t="s">
        <v>126</v>
      </c>
      <c r="K21" s="312">
        <v>120</v>
      </c>
      <c r="L21" s="295" t="s">
        <v>101</v>
      </c>
      <c r="M21" s="316">
        <v>1.06</v>
      </c>
      <c r="N21" s="166">
        <f>1/M21</f>
        <v>0.9433962264150942</v>
      </c>
    </row>
    <row r="22" spans="2:14" ht="12.75">
      <c r="B22" s="103"/>
      <c r="C22" s="92"/>
      <c r="D22" s="92"/>
      <c r="E22" s="92"/>
      <c r="F22" s="81"/>
      <c r="G22" s="81"/>
      <c r="I22" s="19" t="s">
        <v>168</v>
      </c>
      <c r="J22" s="13" t="s">
        <v>127</v>
      </c>
      <c r="K22" s="313">
        <v>2</v>
      </c>
      <c r="L22" s="295" t="s">
        <v>102</v>
      </c>
      <c r="M22" s="316">
        <v>1.05</v>
      </c>
      <c r="N22" s="166">
        <f>1/M22</f>
        <v>0.9523809523809523</v>
      </c>
    </row>
    <row r="23" spans="3:14" ht="12.75">
      <c r="C23" s="15"/>
      <c r="D23" s="193" t="s">
        <v>146</v>
      </c>
      <c r="E23" s="275"/>
      <c r="F23" s="194"/>
      <c r="G23" s="328" t="s">
        <v>166</v>
      </c>
      <c r="I23" s="20" t="s">
        <v>129</v>
      </c>
      <c r="J23" s="14" t="s">
        <v>169</v>
      </c>
      <c r="K23" s="314">
        <v>300</v>
      </c>
      <c r="L23" s="289" t="s">
        <v>165</v>
      </c>
      <c r="M23" s="290">
        <v>1.04</v>
      </c>
      <c r="N23" s="167">
        <f>1/M23</f>
        <v>0.9615384615384615</v>
      </c>
    </row>
    <row r="24" spans="2:28" ht="15.75">
      <c r="B24" s="74" t="s">
        <v>3</v>
      </c>
      <c r="C24" s="1"/>
      <c r="D24" s="195" t="s">
        <v>147</v>
      </c>
      <c r="E24" s="276"/>
      <c r="F24" s="196"/>
      <c r="G24" s="329" t="s">
        <v>166</v>
      </c>
      <c r="AB24" t="str">
        <f>'Original Herd'!B24</f>
        <v>Group Input</v>
      </c>
    </row>
    <row r="25" spans="2:38" ht="12.75">
      <c r="B25" s="170"/>
      <c r="C25" s="171" t="s">
        <v>20</v>
      </c>
      <c r="D25" s="174" t="s">
        <v>0</v>
      </c>
      <c r="E25" s="174" t="s">
        <v>23</v>
      </c>
      <c r="F25" s="174" t="s">
        <v>26</v>
      </c>
      <c r="G25" s="179" t="s">
        <v>17</v>
      </c>
      <c r="H25" s="171"/>
      <c r="I25" s="171"/>
      <c r="J25" s="171" t="s">
        <v>32</v>
      </c>
      <c r="K25" s="171" t="s">
        <v>36</v>
      </c>
      <c r="L25" s="172" t="s">
        <v>26</v>
      </c>
      <c r="M25" s="151" t="s">
        <v>96</v>
      </c>
      <c r="N25" s="151" t="s">
        <v>96</v>
      </c>
      <c r="AC25" t="str">
        <f>'Original Herd'!C25</f>
        <v>Groups</v>
      </c>
      <c r="AD25" t="str">
        <f>'Original Herd'!D25</f>
        <v>Group</v>
      </c>
      <c r="AE25" t="str">
        <f>'Original Herd'!E25</f>
        <v>Cow</v>
      </c>
      <c r="AF25" t="str">
        <f>'Original Herd'!F25</f>
        <v>Milk</v>
      </c>
      <c r="AG25" t="str">
        <f>'Original Herd'!G25</f>
        <v>Milking</v>
      </c>
      <c r="AJ25" t="str">
        <f>'Original Herd'!J25</f>
        <v>Feed</v>
      </c>
      <c r="AK25" t="str">
        <f>'Original Herd'!K25</f>
        <v>Total</v>
      </c>
      <c r="AL25" t="str">
        <f>'Original Herd'!L25</f>
        <v>Milk</v>
      </c>
    </row>
    <row r="26" spans="2:38" ht="12.75">
      <c r="B26" s="173" t="s">
        <v>0</v>
      </c>
      <c r="C26" s="174" t="s">
        <v>21</v>
      </c>
      <c r="D26" s="174" t="s">
        <v>22</v>
      </c>
      <c r="E26" s="174" t="s">
        <v>24</v>
      </c>
      <c r="F26" s="174" t="s">
        <v>27</v>
      </c>
      <c r="G26" s="179" t="s">
        <v>29</v>
      </c>
      <c r="H26" s="174" t="s">
        <v>5</v>
      </c>
      <c r="I26" s="174" t="s">
        <v>30</v>
      </c>
      <c r="J26" s="174" t="s">
        <v>99</v>
      </c>
      <c r="K26" s="174" t="s">
        <v>1</v>
      </c>
      <c r="L26" s="175" t="s">
        <v>34</v>
      </c>
      <c r="M26" s="151" t="s">
        <v>97</v>
      </c>
      <c r="N26" s="151" t="s">
        <v>145</v>
      </c>
      <c r="AB26" t="str">
        <f>'Original Herd'!B26</f>
        <v>Group</v>
      </c>
      <c r="AC26" t="str">
        <f>'Original Herd'!C26</f>
        <v>Identical</v>
      </c>
      <c r="AD26" t="str">
        <f>'Original Herd'!D26</f>
        <v>Size</v>
      </c>
      <c r="AE26" t="str">
        <f>'Original Herd'!E26</f>
        <v>Weight</v>
      </c>
      <c r="AF26" t="str">
        <f>'Original Herd'!F26</f>
        <v>Yield</v>
      </c>
      <c r="AG26" t="str">
        <f>'Original Herd'!G26</f>
        <v>Frequency</v>
      </c>
      <c r="AH26" t="str">
        <f>'Original Herd'!H26</f>
        <v>Parlor</v>
      </c>
      <c r="AI26" t="str">
        <f>'Original Herd'!I26</f>
        <v>Throughput</v>
      </c>
      <c r="AJ26" t="str">
        <f>'Original Herd'!J26</f>
        <v>Dry Matter</v>
      </c>
      <c r="AK26" t="str">
        <f>'Original Herd'!K26</f>
        <v>DMI/d</v>
      </c>
      <c r="AL26" t="str">
        <f>'Original Herd'!L26</f>
        <v>Price</v>
      </c>
    </row>
    <row r="27" spans="2:38" ht="12.75">
      <c r="B27" s="173" t="s">
        <v>9</v>
      </c>
      <c r="C27" s="174" t="s">
        <v>11</v>
      </c>
      <c r="D27" s="174" t="s">
        <v>11</v>
      </c>
      <c r="E27" s="174" t="s">
        <v>25</v>
      </c>
      <c r="F27" s="174" t="s">
        <v>28</v>
      </c>
      <c r="G27" s="174" t="s">
        <v>116</v>
      </c>
      <c r="H27" s="174" t="s">
        <v>9</v>
      </c>
      <c r="I27" s="174" t="s">
        <v>31</v>
      </c>
      <c r="J27" s="174" t="s">
        <v>33</v>
      </c>
      <c r="K27" s="174" t="s">
        <v>25</v>
      </c>
      <c r="L27" s="175" t="s">
        <v>35</v>
      </c>
      <c r="M27" s="152" t="s">
        <v>98</v>
      </c>
      <c r="N27" s="152" t="s">
        <v>98</v>
      </c>
      <c r="AB27" t="str">
        <f>'Original Herd'!B27</f>
        <v>ID</v>
      </c>
      <c r="AC27" t="str">
        <f>'Original Herd'!C27</f>
        <v>No.</v>
      </c>
      <c r="AD27" t="str">
        <f>'Original Herd'!D27</f>
        <v>No.</v>
      </c>
      <c r="AE27" t="str">
        <f>'Original Herd'!E27</f>
        <v>Lbs/Cow</v>
      </c>
      <c r="AF27" t="str">
        <f>'Original Herd'!F27</f>
        <v>Lbs/Cow/d</v>
      </c>
      <c r="AG27" t="str">
        <f>'Original Herd'!G27</f>
        <v>xmlk/d</v>
      </c>
      <c r="AH27" t="str">
        <f>'Original Herd'!H27</f>
        <v>ID</v>
      </c>
      <c r="AI27" t="str">
        <f>'Original Herd'!I27</f>
        <v>Turns/h</v>
      </c>
      <c r="AJ27" t="str">
        <f>'Original Herd'!J27</f>
        <v>$/lb</v>
      </c>
      <c r="AK27" t="str">
        <f>'Original Herd'!K27</f>
        <v>Lbs/Cow</v>
      </c>
      <c r="AL27" t="str">
        <f>'Original Herd'!L27</f>
        <v>$/cwt</v>
      </c>
    </row>
    <row r="28" spans="2:38" ht="12.75">
      <c r="B28" s="317">
        <v>1</v>
      </c>
      <c r="C28" s="296">
        <v>7</v>
      </c>
      <c r="D28" s="296">
        <v>480</v>
      </c>
      <c r="E28" s="296">
        <v>1500</v>
      </c>
      <c r="F28" s="296">
        <v>70</v>
      </c>
      <c r="G28" s="296">
        <v>2</v>
      </c>
      <c r="H28" s="296">
        <v>1</v>
      </c>
      <c r="I28" s="298">
        <v>5</v>
      </c>
      <c r="J28" s="299">
        <v>0.07</v>
      </c>
      <c r="K28" s="342">
        <f aca="true" t="shared" si="2" ref="K28:K42">(0.02*E28)+(0.35*IF($G$23="Yes",M28,F28))</f>
        <v>52.272727272727266</v>
      </c>
      <c r="L28" s="300">
        <v>15</v>
      </c>
      <c r="M28" s="168">
        <f>IF('Original Herd'!G28=G28,F28,CHOOSE('Original Herd'!G28,'Original Herd'!F28*CHOOSE(G28,1,$M$20^3,$M$20^4,$M$20^4*$M$21,$M$20^4*$M$21*$M$22,$M$20^4*$M$21*$M$22*$M$23),'Original Herd'!F28*CHOOSE(G28,$N$20^3,1,$M$20,$M$20*$M$21,$M$20*$M$21*$M$22,$M$20*$M$21*$M$22*$M$23),'Original Herd'!F28*CHOOSE(G28,$N$20^4,$N$20,1,$M$21,$M$21*$M$22,$M$21*$M$22*$M$23),'Original Herd'!F28*CHOOSE(G28,$N$20^4*$N$21,$N$20*$N$21,$N$21,1,$M$22,$M$22*$M$23),'Original Herd'!F28*CHOOSE(G28,$N$20^4*$N$21*$N$22,$N$20*$N$21*$N$22,$N$20*$N$21,$N$20,1,$M$23),'Original Herd'!F28*CHOOSE(G28,$N$20^4*$N$21*$N$22*$N$23,$N$20*$N$21*$N$22*$N$23,$N$20*$N$21*$N$22,$N$20*$N$21,$N$20,1),F28))</f>
        <v>63.63636363636363</v>
      </c>
      <c r="N28" s="277">
        <f>IF(AND('Original Herd'!G28&lt;=2,G28&gt;=3),'Original Herd'!I28+1,IF(AND('Original Herd'!G28&gt;=3,G28&lt;=2),'Original Herd'!I28-1,'Original Herd'!I28))</f>
        <v>3.5</v>
      </c>
      <c r="AB28">
        <f>'Original Herd'!B28</f>
        <v>1</v>
      </c>
      <c r="AC28">
        <f>'Original Herd'!C28</f>
        <v>8</v>
      </c>
      <c r="AD28">
        <f>'Original Herd'!D28</f>
        <v>480</v>
      </c>
      <c r="AE28">
        <f>'Original Herd'!E28</f>
        <v>1500</v>
      </c>
      <c r="AF28">
        <f>'Original Herd'!F28</f>
        <v>70</v>
      </c>
      <c r="AG28">
        <f>'Original Herd'!G28</f>
        <v>3</v>
      </c>
      <c r="AH28">
        <f>'Original Herd'!H28</f>
        <v>1</v>
      </c>
      <c r="AI28">
        <f>'Original Herd'!I28</f>
        <v>4.5</v>
      </c>
      <c r="AJ28">
        <f>'Original Herd'!J28</f>
        <v>0.07</v>
      </c>
      <c r="AK28">
        <f>'Original Herd'!K28</f>
        <v>54.5</v>
      </c>
      <c r="AL28">
        <f>'Original Herd'!L28</f>
        <v>15</v>
      </c>
    </row>
    <row r="29" spans="2:38" ht="12.75">
      <c r="B29" s="318">
        <v>2</v>
      </c>
      <c r="C29" s="301">
        <v>1</v>
      </c>
      <c r="D29" s="301">
        <v>480</v>
      </c>
      <c r="E29" s="301">
        <v>1500</v>
      </c>
      <c r="F29" s="301">
        <v>70</v>
      </c>
      <c r="G29" s="301">
        <v>3</v>
      </c>
      <c r="H29" s="301">
        <v>1</v>
      </c>
      <c r="I29" s="303">
        <v>4.5</v>
      </c>
      <c r="J29" s="302">
        <v>0.07</v>
      </c>
      <c r="K29" s="281">
        <f t="shared" si="2"/>
        <v>54.5</v>
      </c>
      <c r="L29" s="304">
        <v>15</v>
      </c>
      <c r="M29" s="168">
        <f>IF('Original Herd'!G29=G29,F29,CHOOSE('Original Herd'!G29,'Original Herd'!F29*CHOOSE(G29,1,$M$20^3,$M$20^4,$M$20^4*$M$21,$M$20^4*$M$21*$M$22,$M$20^4*$M$21*$M$22*$M$23),'Original Herd'!F29*CHOOSE(G29,$N$20^3,1,$M$20,$M$20*$M$21,$M$20*$M$21*$M$22,$M$20*$M$21*$M$22*$M$23),'Original Herd'!F29*CHOOSE(G29,$N$20^4,$N$20,1,$M$21,$M$21*$M$22,$M$21*$M$22*$M$23),'Original Herd'!F29*CHOOSE(G29,$N$20^4*$N$21,$N$20*$N$21,$N$21,1,$M$22,$M$22*$M$23),'Original Herd'!F29*CHOOSE(G29,$N$20^4*$N$21*$N$22,$N$20*$N$21*$N$22,$N$20*$N$21,$N$20,1,$M$23),'Original Herd'!F29*CHOOSE(G29,$N$20^4*$N$21*$N$22*$N$23,$N$20*$N$21*$N$22*$N$23,$N$20*$N$21*$N$22,$N$20*$N$21,$N$20,1),F29))</f>
        <v>70</v>
      </c>
      <c r="N29" s="277">
        <f>IF(AND('Original Herd'!G29&lt;=2,G29&gt;=3),'Original Herd'!I29+1,IF(AND('Original Herd'!G29&gt;=3,G29&lt;=2),'Original Herd'!I29-1,'Original Herd'!I29))</f>
        <v>4.5</v>
      </c>
      <c r="AB29">
        <f>'Original Herd'!B29</f>
        <v>2</v>
      </c>
      <c r="AC29">
        <f>'Original Herd'!C29</f>
        <v>0</v>
      </c>
      <c r="AD29">
        <f>'Original Herd'!D29</f>
        <v>480</v>
      </c>
      <c r="AE29">
        <f>'Original Herd'!E29</f>
        <v>1500</v>
      </c>
      <c r="AF29">
        <f>'Original Herd'!F29</f>
        <v>70</v>
      </c>
      <c r="AG29">
        <f>'Original Herd'!G29</f>
        <v>3</v>
      </c>
      <c r="AH29">
        <f>'Original Herd'!H29</f>
        <v>1</v>
      </c>
      <c r="AI29">
        <f>'Original Herd'!I29</f>
        <v>4.5</v>
      </c>
      <c r="AJ29">
        <f>'Original Herd'!J29</f>
        <v>0.07</v>
      </c>
      <c r="AK29">
        <f>'Original Herd'!K29</f>
        <v>54.5</v>
      </c>
      <c r="AL29">
        <f>'Original Herd'!L29</f>
        <v>15</v>
      </c>
    </row>
    <row r="30" spans="2:38" ht="12.75">
      <c r="B30" s="318">
        <v>3</v>
      </c>
      <c r="C30" s="301">
        <v>1</v>
      </c>
      <c r="D30" s="301">
        <v>180</v>
      </c>
      <c r="E30" s="301">
        <v>1500</v>
      </c>
      <c r="F30" s="301">
        <v>70</v>
      </c>
      <c r="G30" s="301">
        <v>3</v>
      </c>
      <c r="H30" s="301">
        <v>1</v>
      </c>
      <c r="I30" s="303">
        <v>4.5</v>
      </c>
      <c r="J30" s="302">
        <v>0.07</v>
      </c>
      <c r="K30" s="281">
        <f t="shared" si="2"/>
        <v>54.5</v>
      </c>
      <c r="L30" s="304">
        <v>15</v>
      </c>
      <c r="M30" s="168">
        <f>IF('Original Herd'!G30=G30,F30,CHOOSE('Original Herd'!G30,'Original Herd'!F30*CHOOSE(G30,1,$M$20^3,$M$20^4,$M$20^4*$M$21,$M$20^4*$M$21*$M$22,$M$20^4*$M$21*$M$22*$M$23),'Original Herd'!F30*CHOOSE(G30,$N$20^3,1,$M$20,$M$20*$M$21,$M$20*$M$21*$M$22,$M$20*$M$21*$M$22*$M$23),'Original Herd'!F30*CHOOSE(G30,$N$20^4,$N$20,1,$M$21,$M$21*$M$22,$M$21*$M$22*$M$23),'Original Herd'!F30*CHOOSE(G30,$N$20^4*$N$21,$N$20*$N$21,$N$21,1,$M$22,$M$22*$M$23),'Original Herd'!F30*CHOOSE(G30,$N$20^4*$N$21*$N$22,$N$20*$N$21*$N$22,$N$20*$N$21,$N$20,1,$M$23),'Original Herd'!F30*CHOOSE(G30,$N$20^4*$N$21*$N$22*$N$23,$N$20*$N$21*$N$22*$N$23,$N$20*$N$21*$N$22,$N$20*$N$21,$N$20,1),F30))</f>
        <v>70</v>
      </c>
      <c r="N30" s="277">
        <f>IF(AND('Original Herd'!G30&lt;=2,G30&gt;=3),'Original Herd'!I30+1,IF(AND('Original Herd'!G30&gt;=3,G30&lt;=2),'Original Herd'!I30-1,'Original Herd'!I30))</f>
        <v>4.5</v>
      </c>
      <c r="AB30">
        <f>'Original Herd'!B30</f>
        <v>3</v>
      </c>
      <c r="AC30">
        <f>'Original Herd'!C30</f>
        <v>0</v>
      </c>
      <c r="AD30">
        <f>'Original Herd'!D30</f>
        <v>480</v>
      </c>
      <c r="AE30">
        <f>'Original Herd'!E30</f>
        <v>1500</v>
      </c>
      <c r="AF30">
        <f>'Original Herd'!F30</f>
        <v>70</v>
      </c>
      <c r="AG30">
        <f>'Original Herd'!G30</f>
        <v>3</v>
      </c>
      <c r="AH30">
        <f>'Original Herd'!H30</f>
        <v>1</v>
      </c>
      <c r="AI30">
        <f>'Original Herd'!I30</f>
        <v>4.5</v>
      </c>
      <c r="AJ30">
        <f>'Original Herd'!J30</f>
        <v>0.07</v>
      </c>
      <c r="AK30">
        <f>'Original Herd'!K30</f>
        <v>54.5</v>
      </c>
      <c r="AL30">
        <f>'Original Herd'!L30</f>
        <v>15</v>
      </c>
    </row>
    <row r="31" spans="2:38" ht="12.75">
      <c r="B31" s="318">
        <v>4</v>
      </c>
      <c r="C31" s="301">
        <v>0</v>
      </c>
      <c r="D31" s="301">
        <v>480</v>
      </c>
      <c r="E31" s="301">
        <v>1500</v>
      </c>
      <c r="F31" s="301">
        <v>70</v>
      </c>
      <c r="G31" s="301">
        <v>3</v>
      </c>
      <c r="H31" s="301">
        <v>1</v>
      </c>
      <c r="I31" s="303">
        <v>4.5</v>
      </c>
      <c r="J31" s="302">
        <v>0.07</v>
      </c>
      <c r="K31" s="281">
        <f t="shared" si="2"/>
        <v>54.5</v>
      </c>
      <c r="L31" s="304">
        <v>15</v>
      </c>
      <c r="M31" s="168">
        <f>IF('Original Herd'!G31=G31,F31,CHOOSE('Original Herd'!G31,'Original Herd'!F31*CHOOSE(G31,1,$M$20^3,$M$20^4,$M$20^4*$M$21,$M$20^4*$M$21*$M$22,$M$20^4*$M$21*$M$22*$M$23),'Original Herd'!F31*CHOOSE(G31,$N$20^3,1,$M$20,$M$20*$M$21,$M$20*$M$21*$M$22,$M$20*$M$21*$M$22*$M$23),'Original Herd'!F31*CHOOSE(G31,$N$20^4,$N$20,1,$M$21,$M$21*$M$22,$M$21*$M$22*$M$23),'Original Herd'!F31*CHOOSE(G31,$N$20^4*$N$21,$N$20*$N$21,$N$21,1,$M$22,$M$22*$M$23),'Original Herd'!F31*CHOOSE(G31,$N$20^4*$N$21*$N$22,$N$20*$N$21*$N$22,$N$20*$N$21,$N$20,1,$M$23),'Original Herd'!F31*CHOOSE(G31,$N$20^4*$N$21*$N$22*$N$23,$N$20*$N$21*$N$22*$N$23,$N$20*$N$21*$N$22,$N$20*$N$21,$N$20,1),F31))</f>
        <v>70</v>
      </c>
      <c r="N31" s="277">
        <f>IF(AND('Original Herd'!G31&lt;=2,G31&gt;=3),'Original Herd'!I31+1,IF(AND('Original Herd'!G31&gt;=3,G31&lt;=2),'Original Herd'!I31-1,'Original Herd'!I31))</f>
        <v>4.5</v>
      </c>
      <c r="AB31">
        <f>'Original Herd'!B31</f>
        <v>4</v>
      </c>
      <c r="AC31">
        <f>'Original Herd'!C31</f>
        <v>0</v>
      </c>
      <c r="AD31">
        <f>'Original Herd'!D31</f>
        <v>480</v>
      </c>
      <c r="AE31">
        <f>'Original Herd'!E31</f>
        <v>1500</v>
      </c>
      <c r="AF31">
        <f>'Original Herd'!F31</f>
        <v>70</v>
      </c>
      <c r="AG31">
        <f>'Original Herd'!G31</f>
        <v>3</v>
      </c>
      <c r="AH31">
        <f>'Original Herd'!H31</f>
        <v>1</v>
      </c>
      <c r="AI31">
        <f>'Original Herd'!I31</f>
        <v>4.5</v>
      </c>
      <c r="AJ31">
        <f>'Original Herd'!J31</f>
        <v>0.07</v>
      </c>
      <c r="AK31">
        <f>'Original Herd'!K31</f>
        <v>54.5</v>
      </c>
      <c r="AL31">
        <f>'Original Herd'!L31</f>
        <v>15</v>
      </c>
    </row>
    <row r="32" spans="2:38" ht="12.75">
      <c r="B32" s="318">
        <v>5</v>
      </c>
      <c r="C32" s="301">
        <v>0</v>
      </c>
      <c r="D32" s="301">
        <v>480</v>
      </c>
      <c r="E32" s="301">
        <v>1500</v>
      </c>
      <c r="F32" s="301">
        <v>70</v>
      </c>
      <c r="G32" s="301">
        <v>3</v>
      </c>
      <c r="H32" s="301">
        <v>1</v>
      </c>
      <c r="I32" s="303">
        <v>4.5</v>
      </c>
      <c r="J32" s="302">
        <v>0.07</v>
      </c>
      <c r="K32" s="281">
        <f t="shared" si="2"/>
        <v>54.5</v>
      </c>
      <c r="L32" s="304">
        <v>15</v>
      </c>
      <c r="M32" s="168">
        <f>IF('Original Herd'!G32=G32,F32,CHOOSE('Original Herd'!G32,'Original Herd'!F32*CHOOSE(G32,1,$M$20^3,$M$20^4,$M$20^4*$M$21,$M$20^4*$M$21*$M$22,$M$20^4*$M$21*$M$22*$M$23),'Original Herd'!F32*CHOOSE(G32,$N$20^3,1,$M$20,$M$20*$M$21,$M$20*$M$21*$M$22,$M$20*$M$21*$M$22*$M$23),'Original Herd'!F32*CHOOSE(G32,$N$20^4,$N$20,1,$M$21,$M$21*$M$22,$M$21*$M$22*$M$23),'Original Herd'!F32*CHOOSE(G32,$N$20^4*$N$21,$N$20*$N$21,$N$21,1,$M$22,$M$22*$M$23),'Original Herd'!F32*CHOOSE(G32,$N$20^4*$N$21*$N$22,$N$20*$N$21*$N$22,$N$20*$N$21,$N$20,1,$M$23),'Original Herd'!F32*CHOOSE(G32,$N$20^4*$N$21*$N$22*$N$23,$N$20*$N$21*$N$22*$N$23,$N$20*$N$21*$N$22,$N$20*$N$21,$N$20,1),F32))</f>
        <v>70</v>
      </c>
      <c r="N32" s="277">
        <f>IF(AND('Original Herd'!G32&lt;=2,G32&gt;=3),'Original Herd'!I32+1,IF(AND('Original Herd'!G32&gt;=3,G32&lt;=2),'Original Herd'!I32-1,'Original Herd'!I32))</f>
        <v>4.5</v>
      </c>
      <c r="AB32">
        <f>'Original Herd'!B32</f>
        <v>5</v>
      </c>
      <c r="AC32">
        <f>'Original Herd'!C32</f>
        <v>0</v>
      </c>
      <c r="AD32">
        <f>'Original Herd'!D32</f>
        <v>480</v>
      </c>
      <c r="AE32">
        <f>'Original Herd'!E32</f>
        <v>1500</v>
      </c>
      <c r="AF32">
        <f>'Original Herd'!F32</f>
        <v>70</v>
      </c>
      <c r="AG32">
        <f>'Original Herd'!G32</f>
        <v>3</v>
      </c>
      <c r="AH32">
        <f>'Original Herd'!H32</f>
        <v>1</v>
      </c>
      <c r="AI32">
        <f>'Original Herd'!I32</f>
        <v>4.5</v>
      </c>
      <c r="AJ32">
        <f>'Original Herd'!J32</f>
        <v>0.07</v>
      </c>
      <c r="AK32">
        <f>'Original Herd'!K32</f>
        <v>54.5</v>
      </c>
      <c r="AL32">
        <f>'Original Herd'!L32</f>
        <v>15</v>
      </c>
    </row>
    <row r="33" spans="2:38" ht="12.75">
      <c r="B33" s="318">
        <v>6</v>
      </c>
      <c r="C33" s="301">
        <v>0</v>
      </c>
      <c r="D33" s="301">
        <v>480</v>
      </c>
      <c r="E33" s="301">
        <v>1500</v>
      </c>
      <c r="F33" s="301">
        <v>70</v>
      </c>
      <c r="G33" s="301">
        <v>3</v>
      </c>
      <c r="H33" s="301">
        <v>1</v>
      </c>
      <c r="I33" s="303">
        <v>4.5</v>
      </c>
      <c r="J33" s="302">
        <v>0.07</v>
      </c>
      <c r="K33" s="281">
        <f t="shared" si="2"/>
        <v>54.5</v>
      </c>
      <c r="L33" s="304">
        <v>15</v>
      </c>
      <c r="M33" s="168">
        <f>IF('Original Herd'!G33=G33,F33,CHOOSE('Original Herd'!G33,'Original Herd'!F33*CHOOSE(G33,1,$M$20^3,$M$20^4,$M$20^4*$M$21,$M$20^4*$M$21*$M$22,$M$20^4*$M$21*$M$22*$M$23),'Original Herd'!F33*CHOOSE(G33,$N$20^3,1,$M$20,$M$20*$M$21,$M$20*$M$21*$M$22,$M$20*$M$21*$M$22*$M$23),'Original Herd'!F33*CHOOSE(G33,$N$20^4,$N$20,1,$M$21,$M$21*$M$22,$M$21*$M$22*$M$23),'Original Herd'!F33*CHOOSE(G33,$N$20^4*$N$21,$N$20*$N$21,$N$21,1,$M$22,$M$22*$M$23),'Original Herd'!F33*CHOOSE(G33,$N$20^4*$N$21*$N$22,$N$20*$N$21*$N$22,$N$20*$N$21,$N$20,1,$M$23),'Original Herd'!F33*CHOOSE(G33,$N$20^4*$N$21*$N$22*$N$23,$N$20*$N$21*$N$22*$N$23,$N$20*$N$21*$N$22,$N$20*$N$21,$N$20,1),F33))</f>
        <v>70</v>
      </c>
      <c r="N33" s="277">
        <f>IF(AND('Original Herd'!G33&lt;=2,G33&gt;=3),'Original Herd'!I33+1,IF(AND('Original Herd'!G33&gt;=3,G33&lt;=2),'Original Herd'!I33-1,'Original Herd'!I33))</f>
        <v>4.5</v>
      </c>
      <c r="AB33">
        <f>'Original Herd'!B33</f>
        <v>6</v>
      </c>
      <c r="AC33">
        <f>'Original Herd'!C33</f>
        <v>0</v>
      </c>
      <c r="AD33">
        <f>'Original Herd'!D33</f>
        <v>480</v>
      </c>
      <c r="AE33">
        <f>'Original Herd'!E33</f>
        <v>1500</v>
      </c>
      <c r="AF33">
        <f>'Original Herd'!F33</f>
        <v>70</v>
      </c>
      <c r="AG33">
        <f>'Original Herd'!G33</f>
        <v>3</v>
      </c>
      <c r="AH33">
        <f>'Original Herd'!H33</f>
        <v>1</v>
      </c>
      <c r="AI33">
        <f>'Original Herd'!I33</f>
        <v>4.5</v>
      </c>
      <c r="AJ33">
        <f>'Original Herd'!J33</f>
        <v>0.07</v>
      </c>
      <c r="AK33">
        <f>'Original Herd'!K33</f>
        <v>54.5</v>
      </c>
      <c r="AL33">
        <f>'Original Herd'!L33</f>
        <v>15</v>
      </c>
    </row>
    <row r="34" spans="2:38" ht="12.75">
      <c r="B34" s="318">
        <v>7</v>
      </c>
      <c r="C34" s="301">
        <v>0</v>
      </c>
      <c r="D34" s="301">
        <v>480</v>
      </c>
      <c r="E34" s="301">
        <v>1500</v>
      </c>
      <c r="F34" s="301">
        <v>70</v>
      </c>
      <c r="G34" s="301">
        <v>3</v>
      </c>
      <c r="H34" s="301">
        <v>1</v>
      </c>
      <c r="I34" s="303">
        <v>4.5</v>
      </c>
      <c r="J34" s="302">
        <v>0.07</v>
      </c>
      <c r="K34" s="281">
        <f t="shared" si="2"/>
        <v>54.5</v>
      </c>
      <c r="L34" s="304">
        <v>15</v>
      </c>
      <c r="M34" s="168">
        <f>IF('Original Herd'!G34=G34,F34,CHOOSE('Original Herd'!G34,'Original Herd'!F34*CHOOSE(G34,1,$M$20^3,$M$20^4,$M$20^4*$M$21,$M$20^4*$M$21*$M$22,$M$20^4*$M$21*$M$22*$M$23),'Original Herd'!F34*CHOOSE(G34,$N$20^3,1,$M$20,$M$20*$M$21,$M$20*$M$21*$M$22,$M$20*$M$21*$M$22*$M$23),'Original Herd'!F34*CHOOSE(G34,$N$20^4,$N$20,1,$M$21,$M$21*$M$22,$M$21*$M$22*$M$23),'Original Herd'!F34*CHOOSE(G34,$N$20^4*$N$21,$N$20*$N$21,$N$21,1,$M$22,$M$22*$M$23),'Original Herd'!F34*CHOOSE(G34,$N$20^4*$N$21*$N$22,$N$20*$N$21*$N$22,$N$20*$N$21,$N$20,1,$M$23),'Original Herd'!F34*CHOOSE(G34,$N$20^4*$N$21*$N$22*$N$23,$N$20*$N$21*$N$22*$N$23,$N$20*$N$21*$N$22,$N$20*$N$21,$N$20,1),F34))</f>
        <v>70</v>
      </c>
      <c r="N34" s="277">
        <f>IF(AND('Original Herd'!G34&lt;=2,G34&gt;=3),'Original Herd'!I34+1,IF(AND('Original Herd'!G34&gt;=3,G34&lt;=2),'Original Herd'!I34-1,'Original Herd'!I34))</f>
        <v>4.5</v>
      </c>
      <c r="AB34">
        <f>'Original Herd'!B34</f>
        <v>7</v>
      </c>
      <c r="AC34">
        <f>'Original Herd'!C34</f>
        <v>0</v>
      </c>
      <c r="AD34">
        <f>'Original Herd'!D34</f>
        <v>480</v>
      </c>
      <c r="AE34">
        <f>'Original Herd'!E34</f>
        <v>1500</v>
      </c>
      <c r="AF34">
        <f>'Original Herd'!F34</f>
        <v>70</v>
      </c>
      <c r="AG34">
        <f>'Original Herd'!G34</f>
        <v>3</v>
      </c>
      <c r="AH34">
        <f>'Original Herd'!H34</f>
        <v>1</v>
      </c>
      <c r="AI34">
        <f>'Original Herd'!I34</f>
        <v>4.5</v>
      </c>
      <c r="AJ34">
        <f>'Original Herd'!J34</f>
        <v>0.07</v>
      </c>
      <c r="AK34">
        <f>'Original Herd'!K34</f>
        <v>54.5</v>
      </c>
      <c r="AL34">
        <f>'Original Herd'!L34</f>
        <v>15</v>
      </c>
    </row>
    <row r="35" spans="2:38" ht="12.75">
      <c r="B35" s="318">
        <v>8</v>
      </c>
      <c r="C35" s="301">
        <v>0</v>
      </c>
      <c r="D35" s="301">
        <v>480</v>
      </c>
      <c r="E35" s="301">
        <v>1500</v>
      </c>
      <c r="F35" s="301">
        <v>70</v>
      </c>
      <c r="G35" s="301">
        <v>3</v>
      </c>
      <c r="H35" s="301">
        <v>1</v>
      </c>
      <c r="I35" s="303">
        <v>4.5</v>
      </c>
      <c r="J35" s="302">
        <v>0.07</v>
      </c>
      <c r="K35" s="281">
        <f t="shared" si="2"/>
        <v>54.5</v>
      </c>
      <c r="L35" s="304">
        <v>15</v>
      </c>
      <c r="M35" s="168">
        <f>IF('Original Herd'!G35=G35,F35,CHOOSE('Original Herd'!G35,'Original Herd'!F35*CHOOSE(G35,1,$M$20^3,$M$20^4,$M$20^4*$M$21,$M$20^4*$M$21*$M$22,$M$20^4*$M$21*$M$22*$M$23),'Original Herd'!F35*CHOOSE(G35,$N$20^3,1,$M$20,$M$20*$M$21,$M$20*$M$21*$M$22,$M$20*$M$21*$M$22*$M$23),'Original Herd'!F35*CHOOSE(G35,$N$20^4,$N$20,1,$M$21,$M$21*$M$22,$M$21*$M$22*$M$23),'Original Herd'!F35*CHOOSE(G35,$N$20^4*$N$21,$N$20*$N$21,$N$21,1,$M$22,$M$22*$M$23),'Original Herd'!F35*CHOOSE(G35,$N$20^4*$N$21*$N$22,$N$20*$N$21*$N$22,$N$20*$N$21,$N$20,1,$M$23),'Original Herd'!F35*CHOOSE(G35,$N$20^4*$N$21*$N$22*$N$23,$N$20*$N$21*$N$22*$N$23,$N$20*$N$21*$N$22,$N$20*$N$21,$N$20,1),F35))</f>
        <v>70</v>
      </c>
      <c r="N35" s="277">
        <f>IF(AND('Original Herd'!G35&lt;=2,G35&gt;=3),'Original Herd'!I35+1,IF(AND('Original Herd'!G35&gt;=3,G35&lt;=2),'Original Herd'!I35-1,'Original Herd'!I35))</f>
        <v>4.5</v>
      </c>
      <c r="AB35">
        <f>'Original Herd'!B35</f>
        <v>8</v>
      </c>
      <c r="AC35">
        <f>'Original Herd'!C35</f>
        <v>0</v>
      </c>
      <c r="AD35">
        <f>'Original Herd'!D35</f>
        <v>480</v>
      </c>
      <c r="AE35">
        <f>'Original Herd'!E35</f>
        <v>1500</v>
      </c>
      <c r="AF35">
        <f>'Original Herd'!F35</f>
        <v>70</v>
      </c>
      <c r="AG35">
        <f>'Original Herd'!G35</f>
        <v>3</v>
      </c>
      <c r="AH35">
        <f>'Original Herd'!H35</f>
        <v>1</v>
      </c>
      <c r="AI35">
        <f>'Original Herd'!I35</f>
        <v>4.5</v>
      </c>
      <c r="AJ35">
        <f>'Original Herd'!J35</f>
        <v>0.07</v>
      </c>
      <c r="AK35">
        <f>'Original Herd'!K35</f>
        <v>54.5</v>
      </c>
      <c r="AL35">
        <f>'Original Herd'!L35</f>
        <v>15</v>
      </c>
    </row>
    <row r="36" spans="2:38" ht="12.75">
      <c r="B36" s="318">
        <v>9</v>
      </c>
      <c r="C36" s="301"/>
      <c r="D36" s="301"/>
      <c r="E36" s="301"/>
      <c r="F36" s="301"/>
      <c r="G36" s="301"/>
      <c r="H36" s="301"/>
      <c r="I36" s="303"/>
      <c r="J36" s="302"/>
      <c r="K36" s="281">
        <f t="shared" si="2"/>
        <v>0</v>
      </c>
      <c r="L36" s="304"/>
      <c r="M36" s="168">
        <f>IF('Original Herd'!G36=G36,F36,CHOOSE('Original Herd'!G36,'Original Herd'!F36*CHOOSE(G36,1,$M$20^3,$M$20^4,$M$20^4*$M$21,$M$20^4*$M$21*$M$22,$M$20^4*$M$21*$M$22*$M$23),'Original Herd'!F36*CHOOSE(G36,$N$20^3,1,$M$20,$M$20*$M$21,$M$20*$M$21*$M$22,$M$20*$M$21*$M$22*$M$23),'Original Herd'!F36*CHOOSE(G36,$N$20^4,$N$20,1,$M$21,$M$21*$M$22,$M$21*$M$22*$M$23),'Original Herd'!F36*CHOOSE(G36,$N$20^4*$N$21,$N$20*$N$21,$N$21,1,$M$22,$M$22*$M$23),'Original Herd'!F36*CHOOSE(G36,$N$20^4*$N$21*$N$22,$N$20*$N$21*$N$22,$N$20*$N$21,$N$20,1,$M$23),'Original Herd'!F36*CHOOSE(G36,$N$20^4*$N$21*$N$22*$N$23,$N$20*$N$21*$N$22*$N$23,$N$20*$N$21*$N$22,$N$20*$N$21,$N$20,1),F36))</f>
        <v>0</v>
      </c>
      <c r="N36" s="277">
        <f>IF(AND('Original Herd'!G36&lt;=2,G36&gt;=3),'Original Herd'!I36+1,IF(AND('Original Herd'!G36&gt;=3,G36&lt;=2),'Original Herd'!I36-1,'Original Herd'!I36))</f>
        <v>0</v>
      </c>
      <c r="AB36">
        <f>'Original Herd'!B36</f>
        <v>9</v>
      </c>
      <c r="AC36">
        <f>'Original Herd'!C36</f>
        <v>0</v>
      </c>
      <c r="AD36">
        <f>'Original Herd'!D36</f>
        <v>0</v>
      </c>
      <c r="AE36">
        <f>'Original Herd'!E36</f>
        <v>0</v>
      </c>
      <c r="AF36">
        <f>'Original Herd'!F36</f>
        <v>0</v>
      </c>
      <c r="AG36">
        <f>'Original Herd'!G36</f>
        <v>0</v>
      </c>
      <c r="AH36">
        <f>'Original Herd'!H36</f>
        <v>0</v>
      </c>
      <c r="AI36">
        <f>'Original Herd'!I36</f>
        <v>0</v>
      </c>
      <c r="AJ36">
        <f>'Original Herd'!J36</f>
        <v>0</v>
      </c>
      <c r="AK36">
        <f>'Original Herd'!K36</f>
        <v>0</v>
      </c>
      <c r="AL36">
        <f>'Original Herd'!L36</f>
        <v>0</v>
      </c>
    </row>
    <row r="37" spans="2:38" ht="12.75">
      <c r="B37" s="318">
        <v>10</v>
      </c>
      <c r="C37" s="301"/>
      <c r="D37" s="301"/>
      <c r="E37" s="301"/>
      <c r="F37" s="301"/>
      <c r="G37" s="301"/>
      <c r="H37" s="301"/>
      <c r="I37" s="303"/>
      <c r="J37" s="302"/>
      <c r="K37" s="281">
        <f t="shared" si="2"/>
        <v>0</v>
      </c>
      <c r="L37" s="304"/>
      <c r="M37" s="168">
        <f>IF('Original Herd'!G37=G37,F37,CHOOSE('Original Herd'!G37,'Original Herd'!F37*CHOOSE(G37,1,$M$20^3,$M$20^4,$M$20^4*$M$21,$M$20^4*$M$21*$M$22,$M$20^4*$M$21*$M$22*$M$23),'Original Herd'!F37*CHOOSE(G37,$N$20^3,1,$M$20,$M$20*$M$21,$M$20*$M$21*$M$22,$M$20*$M$21*$M$22*$M$23),'Original Herd'!F37*CHOOSE(G37,$N$20^4,$N$20,1,$M$21,$M$21*$M$22,$M$21*$M$22*$M$23),'Original Herd'!F37*CHOOSE(G37,$N$20^4*$N$21,$N$20*$N$21,$N$21,1,$M$22,$M$22*$M$23),'Original Herd'!F37*CHOOSE(G37,$N$20^4*$N$21*$N$22,$N$20*$N$21*$N$22,$N$20*$N$21,$N$20,1,$M$23),'Original Herd'!F37*CHOOSE(G37,$N$20^4*$N$21*$N$22*$N$23,$N$20*$N$21*$N$22*$N$23,$N$20*$N$21*$N$22,$N$20*$N$21,$N$20,1),F37))</f>
        <v>0</v>
      </c>
      <c r="N37" s="277">
        <f>IF(AND('Original Herd'!G37&lt;=2,G37&gt;=3),'Original Herd'!I37+1,IF(AND('Original Herd'!G37&gt;=3,G37&lt;=2),'Original Herd'!I37-1,'Original Herd'!I37))</f>
        <v>0</v>
      </c>
      <c r="AB37">
        <f>'Original Herd'!B37</f>
        <v>10</v>
      </c>
      <c r="AC37">
        <f>'Original Herd'!C37</f>
        <v>0</v>
      </c>
      <c r="AD37">
        <f>'Original Herd'!D37</f>
        <v>0</v>
      </c>
      <c r="AE37">
        <f>'Original Herd'!E37</f>
        <v>0</v>
      </c>
      <c r="AF37">
        <f>'Original Herd'!F37</f>
        <v>0</v>
      </c>
      <c r="AG37">
        <f>'Original Herd'!G37</f>
        <v>0</v>
      </c>
      <c r="AH37">
        <f>'Original Herd'!H37</f>
        <v>0</v>
      </c>
      <c r="AI37">
        <f>'Original Herd'!I37</f>
        <v>0</v>
      </c>
      <c r="AJ37">
        <f>'Original Herd'!J37</f>
        <v>0</v>
      </c>
      <c r="AK37">
        <f>'Original Herd'!K37</f>
        <v>0</v>
      </c>
      <c r="AL37">
        <f>'Original Herd'!L37</f>
        <v>0</v>
      </c>
    </row>
    <row r="38" spans="2:38" ht="12.75">
      <c r="B38" s="318">
        <v>11</v>
      </c>
      <c r="C38" s="301"/>
      <c r="D38" s="301"/>
      <c r="E38" s="301"/>
      <c r="F38" s="301"/>
      <c r="G38" s="301"/>
      <c r="H38" s="301"/>
      <c r="I38" s="303"/>
      <c r="J38" s="302"/>
      <c r="K38" s="281">
        <f t="shared" si="2"/>
        <v>0</v>
      </c>
      <c r="L38" s="304"/>
      <c r="M38" s="168">
        <f>IF('Original Herd'!G38=G38,F38,CHOOSE('Original Herd'!G38,'Original Herd'!F38*CHOOSE(G38,1,$M$20^3,$M$20^4,$M$20^4*$M$21,$M$20^4*$M$21*$M$22,$M$20^4*$M$21*$M$22*$M$23),'Original Herd'!F38*CHOOSE(G38,$N$20^3,1,$M$20,$M$20*$M$21,$M$20*$M$21*$M$22,$M$20*$M$21*$M$22*$M$23),'Original Herd'!F38*CHOOSE(G38,$N$20^4,$N$20,1,$M$21,$M$21*$M$22,$M$21*$M$22*$M$23),'Original Herd'!F38*CHOOSE(G38,$N$20^4*$N$21,$N$20*$N$21,$N$21,1,$M$22,$M$22*$M$23),'Original Herd'!F38*CHOOSE(G38,$N$20^4*$N$21*$N$22,$N$20*$N$21*$N$22,$N$20*$N$21,$N$20,1,$M$23),'Original Herd'!F38*CHOOSE(G38,$N$20^4*$N$21*$N$22*$N$23,$N$20*$N$21*$N$22*$N$23,$N$20*$N$21*$N$22,$N$20*$N$21,$N$20,1),F38))</f>
        <v>0</v>
      </c>
      <c r="N38" s="277">
        <f>IF(AND('Original Herd'!G38&lt;=2,G38&gt;=3),'Original Herd'!I38+1,IF(AND('Original Herd'!G38&gt;=3,G38&lt;=2),'Original Herd'!I38-1,'Original Herd'!I38))</f>
        <v>0</v>
      </c>
      <c r="AB38">
        <f>'Original Herd'!B38</f>
        <v>11</v>
      </c>
      <c r="AC38">
        <f>'Original Herd'!C38</f>
        <v>0</v>
      </c>
      <c r="AD38">
        <f>'Original Herd'!D38</f>
        <v>0</v>
      </c>
      <c r="AE38">
        <f>'Original Herd'!E38</f>
        <v>0</v>
      </c>
      <c r="AF38">
        <f>'Original Herd'!F38</f>
        <v>0</v>
      </c>
      <c r="AG38">
        <f>'Original Herd'!G38</f>
        <v>0</v>
      </c>
      <c r="AH38">
        <f>'Original Herd'!H38</f>
        <v>0</v>
      </c>
      <c r="AI38">
        <f>'Original Herd'!I38</f>
        <v>0</v>
      </c>
      <c r="AJ38">
        <f>'Original Herd'!J38</f>
        <v>0</v>
      </c>
      <c r="AK38">
        <f>'Original Herd'!K38</f>
        <v>0</v>
      </c>
      <c r="AL38">
        <f>'Original Herd'!L38</f>
        <v>0</v>
      </c>
    </row>
    <row r="39" spans="2:38" ht="12.75">
      <c r="B39" s="318">
        <v>12</v>
      </c>
      <c r="C39" s="301"/>
      <c r="D39" s="301"/>
      <c r="E39" s="301"/>
      <c r="F39" s="301"/>
      <c r="G39" s="301"/>
      <c r="H39" s="301"/>
      <c r="I39" s="303"/>
      <c r="J39" s="302"/>
      <c r="K39" s="281">
        <f t="shared" si="2"/>
        <v>0</v>
      </c>
      <c r="L39" s="304"/>
      <c r="M39" s="168">
        <f>IF('Original Herd'!G39=G39,F39,CHOOSE('Original Herd'!G39,'Original Herd'!F39*CHOOSE(G39,1,$M$20^3,$M$20^4,$M$20^4*$M$21,$M$20^4*$M$21*$M$22,$M$20^4*$M$21*$M$22*$M$23),'Original Herd'!F39*CHOOSE(G39,$N$20^3,1,$M$20,$M$20*$M$21,$M$20*$M$21*$M$22,$M$20*$M$21*$M$22*$M$23),'Original Herd'!F39*CHOOSE(G39,$N$20^4,$N$20,1,$M$21,$M$21*$M$22,$M$21*$M$22*$M$23),'Original Herd'!F39*CHOOSE(G39,$N$20^4*$N$21,$N$20*$N$21,$N$21,1,$M$22,$M$22*$M$23),'Original Herd'!F39*CHOOSE(G39,$N$20^4*$N$21*$N$22,$N$20*$N$21*$N$22,$N$20*$N$21,$N$20,1,$M$23),'Original Herd'!F39*CHOOSE(G39,$N$20^4*$N$21*$N$22*$N$23,$N$20*$N$21*$N$22*$N$23,$N$20*$N$21*$N$22,$N$20*$N$21,$N$20,1),F39))</f>
        <v>0</v>
      </c>
      <c r="N39" s="277">
        <f>IF(AND('Original Herd'!G39&lt;=2,G39&gt;=3),'Original Herd'!I39+1,IF(AND('Original Herd'!G39&gt;=3,G39&lt;=2),'Original Herd'!I39-1,'Original Herd'!I39))</f>
        <v>0</v>
      </c>
      <c r="AB39">
        <f>'Original Herd'!B39</f>
        <v>12</v>
      </c>
      <c r="AC39">
        <f>'Original Herd'!C39</f>
        <v>0</v>
      </c>
      <c r="AD39">
        <f>'Original Herd'!D39</f>
        <v>0</v>
      </c>
      <c r="AE39">
        <f>'Original Herd'!E39</f>
        <v>0</v>
      </c>
      <c r="AF39">
        <f>'Original Herd'!F39</f>
        <v>0</v>
      </c>
      <c r="AG39">
        <f>'Original Herd'!G39</f>
        <v>0</v>
      </c>
      <c r="AH39">
        <f>'Original Herd'!H39</f>
        <v>0</v>
      </c>
      <c r="AI39">
        <f>'Original Herd'!I39</f>
        <v>0</v>
      </c>
      <c r="AJ39">
        <f>'Original Herd'!J39</f>
        <v>0</v>
      </c>
      <c r="AK39">
        <f>'Original Herd'!K39</f>
        <v>0</v>
      </c>
      <c r="AL39">
        <f>'Original Herd'!L39</f>
        <v>0</v>
      </c>
    </row>
    <row r="40" spans="2:38" ht="12.75">
      <c r="B40" s="318">
        <v>13</v>
      </c>
      <c r="C40" s="301"/>
      <c r="D40" s="301"/>
      <c r="E40" s="301"/>
      <c r="F40" s="301"/>
      <c r="G40" s="301"/>
      <c r="H40" s="301"/>
      <c r="I40" s="303"/>
      <c r="J40" s="302"/>
      <c r="K40" s="281">
        <f t="shared" si="2"/>
        <v>0</v>
      </c>
      <c r="L40" s="304"/>
      <c r="M40" s="168">
        <f>IF('Original Herd'!G40=G40,F40,CHOOSE('Original Herd'!G40,'Original Herd'!F40*CHOOSE(G40,1,$M$20^3,$M$20^4,$M$20^4*$M$21,$M$20^4*$M$21*$M$22,$M$20^4*$M$21*$M$22*$M$23),'Original Herd'!F40*CHOOSE(G40,$N$20^3,1,$M$20,$M$20*$M$21,$M$20*$M$21*$M$22,$M$20*$M$21*$M$22*$M$23),'Original Herd'!F40*CHOOSE(G40,$N$20^4,$N$20,1,$M$21,$M$21*$M$22,$M$21*$M$22*$M$23),'Original Herd'!F40*CHOOSE(G40,$N$20^4*$N$21,$N$20*$N$21,$N$21,1,$M$22,$M$22*$M$23),'Original Herd'!F40*CHOOSE(G40,$N$20^4*$N$21*$N$22,$N$20*$N$21*$N$22,$N$20*$N$21,$N$20,1,$M$23),'Original Herd'!F40*CHOOSE(G40,$N$20^4*$N$21*$N$22*$N$23,$N$20*$N$21*$N$22*$N$23,$N$20*$N$21*$N$22,$N$20*$N$21,$N$20,1),F40))</f>
        <v>0</v>
      </c>
      <c r="N40" s="277">
        <f>IF(AND('Original Herd'!G40&lt;=2,G40&gt;=3),'Original Herd'!I40+1,IF(AND('Original Herd'!G40&gt;=3,G40&lt;=2),'Original Herd'!I40-1,'Original Herd'!I40))</f>
        <v>0</v>
      </c>
      <c r="AB40">
        <f>'Original Herd'!B40</f>
        <v>13</v>
      </c>
      <c r="AC40">
        <f>'Original Herd'!C40</f>
        <v>0</v>
      </c>
      <c r="AD40">
        <f>'Original Herd'!D40</f>
        <v>0</v>
      </c>
      <c r="AE40">
        <f>'Original Herd'!E40</f>
        <v>0</v>
      </c>
      <c r="AF40">
        <f>'Original Herd'!F40</f>
        <v>0</v>
      </c>
      <c r="AG40">
        <f>'Original Herd'!G40</f>
        <v>0</v>
      </c>
      <c r="AH40">
        <f>'Original Herd'!H40</f>
        <v>0</v>
      </c>
      <c r="AI40">
        <f>'Original Herd'!I40</f>
        <v>0</v>
      </c>
      <c r="AJ40">
        <f>'Original Herd'!J40</f>
        <v>0</v>
      </c>
      <c r="AK40">
        <f>'Original Herd'!K40</f>
        <v>0</v>
      </c>
      <c r="AL40">
        <f>'Original Herd'!L40</f>
        <v>0</v>
      </c>
    </row>
    <row r="41" spans="2:38" ht="12.75">
      <c r="B41" s="318">
        <v>14</v>
      </c>
      <c r="C41" s="301"/>
      <c r="D41" s="301"/>
      <c r="E41" s="301"/>
      <c r="F41" s="301"/>
      <c r="G41" s="301"/>
      <c r="H41" s="301"/>
      <c r="I41" s="303"/>
      <c r="J41" s="302"/>
      <c r="K41" s="281">
        <f t="shared" si="2"/>
        <v>0</v>
      </c>
      <c r="L41" s="304"/>
      <c r="M41" s="168">
        <f>IF('Original Herd'!G41=G41,F41,CHOOSE('Original Herd'!G41,'Original Herd'!F41*CHOOSE(G41,1,$M$20^3,$M$20^4,$M$20^4*$M$21,$M$20^4*$M$21*$M$22,$M$20^4*$M$21*$M$22*$M$23),'Original Herd'!F41*CHOOSE(G41,$N$20^3,1,$M$20,$M$20*$M$21,$M$20*$M$21*$M$22,$M$20*$M$21*$M$22*$M$23),'Original Herd'!F41*CHOOSE(G41,$N$20^4,$N$20,1,$M$21,$M$21*$M$22,$M$21*$M$22*$M$23),'Original Herd'!F41*CHOOSE(G41,$N$20^4*$N$21,$N$20*$N$21,$N$21,1,$M$22,$M$22*$M$23),'Original Herd'!F41*CHOOSE(G41,$N$20^4*$N$21*$N$22,$N$20*$N$21*$N$22,$N$20*$N$21,$N$20,1,$M$23),'Original Herd'!F41*CHOOSE(G41,$N$20^4*$N$21*$N$22*$N$23,$N$20*$N$21*$N$22*$N$23,$N$20*$N$21*$N$22,$N$20*$N$21,$N$20,1),F41))</f>
        <v>0</v>
      </c>
      <c r="N41" s="277">
        <f>IF(AND('Original Herd'!G41&lt;=2,G41&gt;=3),'Original Herd'!I41+1,IF(AND('Original Herd'!G41&gt;=3,G41&lt;=2),'Original Herd'!I41-1,'Original Herd'!I41))</f>
        <v>0</v>
      </c>
      <c r="AB41">
        <f>'Original Herd'!B41</f>
        <v>14</v>
      </c>
      <c r="AC41">
        <f>'Original Herd'!C41</f>
        <v>0</v>
      </c>
      <c r="AD41">
        <f>'Original Herd'!D41</f>
        <v>0</v>
      </c>
      <c r="AE41">
        <f>'Original Herd'!E41</f>
        <v>0</v>
      </c>
      <c r="AF41">
        <f>'Original Herd'!F41</f>
        <v>0</v>
      </c>
      <c r="AG41">
        <f>'Original Herd'!G41</f>
        <v>0</v>
      </c>
      <c r="AH41">
        <f>'Original Herd'!H41</f>
        <v>0</v>
      </c>
      <c r="AI41">
        <f>'Original Herd'!I41</f>
        <v>0</v>
      </c>
      <c r="AJ41">
        <f>'Original Herd'!J41</f>
        <v>0</v>
      </c>
      <c r="AK41">
        <f>'Original Herd'!K41</f>
        <v>0</v>
      </c>
      <c r="AL41">
        <f>'Original Herd'!L41</f>
        <v>0</v>
      </c>
    </row>
    <row r="42" spans="2:38" ht="12.75">
      <c r="B42" s="322">
        <v>15</v>
      </c>
      <c r="C42" s="305"/>
      <c r="D42" s="305"/>
      <c r="E42" s="305"/>
      <c r="F42" s="305"/>
      <c r="G42" s="305"/>
      <c r="H42" s="305"/>
      <c r="I42" s="338"/>
      <c r="J42" s="306"/>
      <c r="K42" s="282">
        <f t="shared" si="2"/>
        <v>0</v>
      </c>
      <c r="L42" s="307"/>
      <c r="M42" s="168">
        <f>IF('Original Herd'!G42=G42,F42,CHOOSE('Original Herd'!G42,'Original Herd'!F42*CHOOSE(G42,1,$M$20^3,$M$20^4,$M$20^4*$M$21,$M$20^4*$M$21*$M$22,$M$20^4*$M$21*$M$22*$M$23),'Original Herd'!F42*CHOOSE(G42,$N$20^3,1,$M$20,$M$20*$M$21,$M$20*$M$21*$M$22,$M$20*$M$21*$M$22*$M$23),'Original Herd'!F42*CHOOSE(G42,$N$20^4,$N$20,1,$M$21,$M$21*$M$22,$M$21*$M$22*$M$23),'Original Herd'!F42*CHOOSE(G42,$N$20^4*$N$21,$N$20*$N$21,$N$21,1,$M$22,$M$22*$M$23),'Original Herd'!F42*CHOOSE(G42,$N$20^4*$N$21*$N$22,$N$20*$N$21*$N$22,$N$20*$N$21,$N$20,1,$M$23),'Original Herd'!F42*CHOOSE(G42,$N$20^4*$N$21*$N$22*$N$23,$N$20*$N$21*$N$22*$N$23,$N$20*$N$21*$N$22,$N$20*$N$21,$N$20,1),F42))</f>
        <v>0</v>
      </c>
      <c r="N42" s="277">
        <f>IF(AND('Original Herd'!G42&lt;=2,G42&gt;=3),'Original Herd'!I42+1,IF(AND('Original Herd'!G42&gt;=3,G42&lt;=2),'Original Herd'!I42-1,'Original Herd'!I42))</f>
        <v>0</v>
      </c>
      <c r="AB42">
        <f>'Original Herd'!B42</f>
        <v>15</v>
      </c>
      <c r="AC42">
        <f>'Original Herd'!C42</f>
        <v>0</v>
      </c>
      <c r="AD42">
        <f>'Original Herd'!D42</f>
        <v>0</v>
      </c>
      <c r="AE42">
        <f>'Original Herd'!E42</f>
        <v>0</v>
      </c>
      <c r="AF42">
        <f>'Original Herd'!F42</f>
        <v>0</v>
      </c>
      <c r="AG42">
        <f>'Original Herd'!G42</f>
        <v>0</v>
      </c>
      <c r="AH42">
        <f>'Original Herd'!H42</f>
        <v>0</v>
      </c>
      <c r="AI42">
        <f>'Original Herd'!I42</f>
        <v>0</v>
      </c>
      <c r="AJ42">
        <f>'Original Herd'!J42</f>
        <v>0</v>
      </c>
      <c r="AK42">
        <f>'Original Herd'!K42</f>
        <v>0</v>
      </c>
      <c r="AL42">
        <f>'Original Herd'!L42</f>
        <v>0</v>
      </c>
    </row>
    <row r="44" ht="18">
      <c r="A44" s="70" t="s">
        <v>7</v>
      </c>
    </row>
    <row r="45" ht="12.75">
      <c r="B45" s="23"/>
    </row>
    <row r="46" spans="2:28" ht="15.75">
      <c r="B46" s="75" t="s">
        <v>57</v>
      </c>
      <c r="AB46" t="str">
        <f>'Original Herd'!B46</f>
        <v>Milking Time</v>
      </c>
    </row>
    <row r="47" spans="2:28" ht="15.75">
      <c r="B47" s="75" t="s">
        <v>43</v>
      </c>
      <c r="AB47" t="str">
        <f>'Original Herd'!B47</f>
        <v>Summary</v>
      </c>
    </row>
    <row r="48" spans="2:38" ht="12.75">
      <c r="B48" s="180"/>
      <c r="C48" s="181" t="s">
        <v>20</v>
      </c>
      <c r="D48" s="181" t="s">
        <v>0</v>
      </c>
      <c r="E48" s="182"/>
      <c r="F48" s="181" t="s">
        <v>58</v>
      </c>
      <c r="G48" s="181" t="s">
        <v>5</v>
      </c>
      <c r="H48" s="181" t="s">
        <v>68</v>
      </c>
      <c r="I48" s="181" t="s">
        <v>61</v>
      </c>
      <c r="J48" s="181" t="s">
        <v>63</v>
      </c>
      <c r="K48" s="181" t="s">
        <v>17</v>
      </c>
      <c r="L48" s="183" t="s">
        <v>83</v>
      </c>
      <c r="M48" s="126" t="s">
        <v>92</v>
      </c>
      <c r="N48" s="126" t="s">
        <v>83</v>
      </c>
      <c r="AC48" t="str">
        <f>'Original Herd'!C48</f>
        <v>Groups</v>
      </c>
      <c r="AD48" t="str">
        <f>'Original Herd'!D48</f>
        <v>Group</v>
      </c>
      <c r="AF48" t="str">
        <f>'Original Herd'!F48</f>
        <v>No. of</v>
      </c>
      <c r="AG48" t="str">
        <f>'Original Herd'!G48</f>
        <v>Parlor</v>
      </c>
      <c r="AH48" t="str">
        <f>'Original Herd'!H48</f>
        <v>Cows</v>
      </c>
      <c r="AI48" t="str">
        <f>'Original Herd'!I48</f>
        <v>Hours</v>
      </c>
      <c r="AJ48" t="str">
        <f>'Original Herd'!J48</f>
        <v>Times</v>
      </c>
      <c r="AK48" t="str">
        <f>'Original Herd'!K48</f>
        <v>Milking</v>
      </c>
      <c r="AL48" t="str">
        <f>'Original Herd'!L48</f>
        <v>All Groups</v>
      </c>
    </row>
    <row r="49" spans="2:38" ht="12.75">
      <c r="B49" s="184" t="s">
        <v>0</v>
      </c>
      <c r="C49" s="185" t="s">
        <v>21</v>
      </c>
      <c r="D49" s="185" t="s">
        <v>22</v>
      </c>
      <c r="E49" s="185" t="s">
        <v>53</v>
      </c>
      <c r="F49" s="185" t="s">
        <v>5</v>
      </c>
      <c r="G49" s="185" t="s">
        <v>59</v>
      </c>
      <c r="H49" s="185" t="s">
        <v>64</v>
      </c>
      <c r="I49" s="185" t="s">
        <v>62</v>
      </c>
      <c r="J49" s="185" t="s">
        <v>64</v>
      </c>
      <c r="K49" s="185" t="s">
        <v>54</v>
      </c>
      <c r="L49" s="186" t="s">
        <v>57</v>
      </c>
      <c r="M49" s="126" t="s">
        <v>93</v>
      </c>
      <c r="N49" s="126" t="s">
        <v>93</v>
      </c>
      <c r="AB49" t="str">
        <f>'Original Herd'!B49</f>
        <v>Group</v>
      </c>
      <c r="AC49" t="str">
        <f>'Original Herd'!C49</f>
        <v>Identical</v>
      </c>
      <c r="AD49" t="str">
        <f>'Original Herd'!D49</f>
        <v>Size</v>
      </c>
      <c r="AE49" t="str">
        <f>'Original Herd'!E49</f>
        <v>ParlorID</v>
      </c>
      <c r="AF49" t="str">
        <f>'Original Herd'!F49</f>
        <v>Parlor</v>
      </c>
      <c r="AG49" t="str">
        <f>'Original Herd'!G49</f>
        <v>Turns</v>
      </c>
      <c r="AH49" t="str">
        <f>'Original Herd'!H49</f>
        <v>Milked</v>
      </c>
      <c r="AI49" t="str">
        <f>'Original Herd'!I49</f>
        <v>for  One</v>
      </c>
      <c r="AJ49" t="str">
        <f>'Original Herd'!J49</f>
        <v>Milked</v>
      </c>
      <c r="AK49" t="str">
        <f>'Original Herd'!K49</f>
        <v>Time/group</v>
      </c>
      <c r="AL49" t="str">
        <f>'Original Herd'!L49</f>
        <v>Milking Time</v>
      </c>
    </row>
    <row r="50" spans="2:38" ht="12.75">
      <c r="B50" s="184" t="s">
        <v>9</v>
      </c>
      <c r="C50" s="185" t="s">
        <v>11</v>
      </c>
      <c r="D50" s="185" t="s">
        <v>11</v>
      </c>
      <c r="E50" s="185" t="s">
        <v>11</v>
      </c>
      <c r="F50" s="185" t="s">
        <v>10</v>
      </c>
      <c r="G50" s="185" t="s">
        <v>60</v>
      </c>
      <c r="H50" s="185" t="s">
        <v>60</v>
      </c>
      <c r="I50" s="185" t="s">
        <v>17</v>
      </c>
      <c r="J50" s="185" t="s">
        <v>65</v>
      </c>
      <c r="K50" s="185" t="s">
        <v>91</v>
      </c>
      <c r="L50" s="186" t="s">
        <v>12</v>
      </c>
      <c r="M50" s="145" t="s">
        <v>57</v>
      </c>
      <c r="N50" s="146" t="s">
        <v>57</v>
      </c>
      <c r="AB50" t="str">
        <f>'Original Herd'!B50</f>
        <v>ID</v>
      </c>
      <c r="AC50" t="str">
        <f>'Original Herd'!C50</f>
        <v>No.</v>
      </c>
      <c r="AD50" t="str">
        <f>'Original Herd'!D50</f>
        <v>No.</v>
      </c>
      <c r="AE50" t="str">
        <f>'Original Herd'!E50</f>
        <v>No.</v>
      </c>
      <c r="AF50" t="str">
        <f>'Original Herd'!F50</f>
        <v>Stalls</v>
      </c>
      <c r="AG50" t="str">
        <f>'Original Herd'!G50</f>
        <v>per Hour</v>
      </c>
      <c r="AH50" t="str">
        <f>'Original Herd'!H50</f>
        <v>per Hour</v>
      </c>
      <c r="AI50" t="str">
        <f>'Original Herd'!I50</f>
        <v>Milking</v>
      </c>
      <c r="AJ50" t="str">
        <f>'Original Herd'!J50</f>
        <v>per day</v>
      </c>
      <c r="AK50" t="str">
        <f>'Original Herd'!K50</f>
        <v>Hrs/Day</v>
      </c>
      <c r="AL50" t="str">
        <f>'Original Herd'!L50</f>
        <v>Hrs/d</v>
      </c>
    </row>
    <row r="51" spans="2:38" ht="12.75">
      <c r="B51" s="96">
        <f aca="true" t="shared" si="3" ref="B51:D55">B28</f>
        <v>1</v>
      </c>
      <c r="C51" s="104">
        <f t="shared" si="3"/>
        <v>7</v>
      </c>
      <c r="D51" s="104">
        <f t="shared" si="3"/>
        <v>480</v>
      </c>
      <c r="E51" s="104">
        <f>H28</f>
        <v>1</v>
      </c>
      <c r="F51" s="104">
        <f>IF(E51&gt;0,CHOOSE(E51,C$16,C$17,C$18),0)</f>
        <v>120</v>
      </c>
      <c r="G51" s="344">
        <f>IF($G$24="Yes",N28,I28)</f>
        <v>3.5</v>
      </c>
      <c r="H51" s="104">
        <f>F51*G51</f>
        <v>420</v>
      </c>
      <c r="I51" s="53">
        <f>IF(F51&gt;0,ROUNDUP(D51/(F51/2),0)/(G51*2),0)</f>
        <v>1.1428571428571428</v>
      </c>
      <c r="J51" s="104">
        <f>G28</f>
        <v>2</v>
      </c>
      <c r="K51" s="53">
        <f>I51*J51</f>
        <v>2.2857142857142856</v>
      </c>
      <c r="L51" s="54">
        <f aca="true" t="shared" si="4" ref="L51:L65">C51*K51</f>
        <v>16</v>
      </c>
      <c r="M51" s="129">
        <f>K51-'Original Herd'!K51</f>
        <v>-0.38095238095238093</v>
      </c>
      <c r="N51" s="129">
        <f>L51-'Original Herd'!L51</f>
        <v>-5.333333333333332</v>
      </c>
      <c r="AB51">
        <f>'Original Herd'!B51</f>
        <v>1</v>
      </c>
      <c r="AC51">
        <f>'Original Herd'!C51</f>
        <v>8</v>
      </c>
      <c r="AD51">
        <f>'Original Herd'!D51</f>
        <v>480</v>
      </c>
      <c r="AE51">
        <f>'Original Herd'!E51</f>
        <v>1</v>
      </c>
      <c r="AF51">
        <f>'Original Herd'!F51</f>
        <v>120</v>
      </c>
      <c r="AG51">
        <f>'Original Herd'!G51</f>
        <v>4.5</v>
      </c>
      <c r="AH51">
        <f>'Original Herd'!H51</f>
        <v>540</v>
      </c>
      <c r="AI51">
        <f>'Original Herd'!I51</f>
        <v>0.8888888888888888</v>
      </c>
      <c r="AJ51">
        <f>'Original Herd'!J51</f>
        <v>3</v>
      </c>
      <c r="AK51">
        <f>'Original Herd'!K51</f>
        <v>2.6666666666666665</v>
      </c>
      <c r="AL51">
        <f>'Original Herd'!L51</f>
        <v>21.333333333333332</v>
      </c>
    </row>
    <row r="52" spans="2:38" ht="12.75">
      <c r="B52" s="97">
        <f t="shared" si="3"/>
        <v>2</v>
      </c>
      <c r="C52" s="103">
        <f t="shared" si="3"/>
        <v>1</v>
      </c>
      <c r="D52" s="103">
        <f t="shared" si="3"/>
        <v>480</v>
      </c>
      <c r="E52" s="103">
        <f>H29</f>
        <v>1</v>
      </c>
      <c r="F52" s="103">
        <f>IF(E52&gt;0,CHOOSE(E52,C$16,C$17,C$18),0)</f>
        <v>120</v>
      </c>
      <c r="G52" s="278">
        <f>IF($G$24="Yes",N29,I29)</f>
        <v>4.5</v>
      </c>
      <c r="H52" s="106">
        <f>F52*G52</f>
        <v>540</v>
      </c>
      <c r="I52" s="49">
        <f>IF(F52&gt;0,ROUNDUP(D52/(F52/2),0)/(G52*2),0)</f>
        <v>0.8888888888888888</v>
      </c>
      <c r="J52" s="105">
        <f>G29</f>
        <v>3</v>
      </c>
      <c r="K52" s="49">
        <f>I52*J52</f>
        <v>2.6666666666666665</v>
      </c>
      <c r="L52" s="51">
        <f t="shared" si="4"/>
        <v>2.6666666666666665</v>
      </c>
      <c r="M52" s="129">
        <f>K52-'Original Herd'!K52</f>
        <v>0</v>
      </c>
      <c r="N52" s="129">
        <f>L52-'Original Herd'!L52</f>
        <v>2.6666666666666665</v>
      </c>
      <c r="AB52">
        <f>'Original Herd'!B52</f>
        <v>2</v>
      </c>
      <c r="AC52">
        <f>'Original Herd'!C52</f>
        <v>0</v>
      </c>
      <c r="AD52">
        <f>'Original Herd'!D52</f>
        <v>480</v>
      </c>
      <c r="AE52">
        <f>'Original Herd'!E52</f>
        <v>1</v>
      </c>
      <c r="AF52">
        <f>'Original Herd'!F52</f>
        <v>120</v>
      </c>
      <c r="AG52">
        <f>'Original Herd'!G52</f>
        <v>4.5</v>
      </c>
      <c r="AH52">
        <f>'Original Herd'!H52</f>
        <v>540</v>
      </c>
      <c r="AI52">
        <f>'Original Herd'!I52</f>
        <v>0.8888888888888888</v>
      </c>
      <c r="AJ52">
        <f>'Original Herd'!J52</f>
        <v>3</v>
      </c>
      <c r="AK52">
        <f>'Original Herd'!K52</f>
        <v>2.6666666666666665</v>
      </c>
      <c r="AL52">
        <f>'Original Herd'!L52</f>
        <v>0</v>
      </c>
    </row>
    <row r="53" spans="2:38" ht="12.75">
      <c r="B53" s="97">
        <f t="shared" si="3"/>
        <v>3</v>
      </c>
      <c r="C53" s="103">
        <f t="shared" si="3"/>
        <v>1</v>
      </c>
      <c r="D53" s="103">
        <f t="shared" si="3"/>
        <v>180</v>
      </c>
      <c r="E53" s="103">
        <f>H30</f>
        <v>1</v>
      </c>
      <c r="F53" s="103">
        <f>IF(E53&gt;0,CHOOSE(E53,C$16,C$17,C$18),0)</f>
        <v>120</v>
      </c>
      <c r="G53" s="278">
        <f aca="true" t="shared" si="5" ref="G53:G65">IF($G$24="Yes",N30,I30)</f>
        <v>4.5</v>
      </c>
      <c r="H53" s="106">
        <f>F53*G53</f>
        <v>540</v>
      </c>
      <c r="I53" s="49">
        <f aca="true" t="shared" si="6" ref="I53:I65">IF(F53&gt;0,ROUNDUP(D53/(F53/2),0)/(G53*2),0)</f>
        <v>0.3333333333333333</v>
      </c>
      <c r="J53" s="105">
        <f>G30</f>
        <v>3</v>
      </c>
      <c r="K53" s="49">
        <f>I53*J53</f>
        <v>1</v>
      </c>
      <c r="L53" s="51">
        <f t="shared" si="4"/>
        <v>1</v>
      </c>
      <c r="M53" s="129">
        <f>K53-'Original Herd'!K53</f>
        <v>-1.6666666666666665</v>
      </c>
      <c r="N53" s="129">
        <f>L53-'Original Herd'!L53</f>
        <v>1</v>
      </c>
      <c r="AB53">
        <f>'Original Herd'!B53</f>
        <v>3</v>
      </c>
      <c r="AC53">
        <f>'Original Herd'!C53</f>
        <v>0</v>
      </c>
      <c r="AD53">
        <f>'Original Herd'!D53</f>
        <v>480</v>
      </c>
      <c r="AE53">
        <f>'Original Herd'!E53</f>
        <v>1</v>
      </c>
      <c r="AF53">
        <f>'Original Herd'!F53</f>
        <v>120</v>
      </c>
      <c r="AG53">
        <f>'Original Herd'!G53</f>
        <v>4.5</v>
      </c>
      <c r="AH53">
        <f>'Original Herd'!H53</f>
        <v>540</v>
      </c>
      <c r="AI53">
        <f>'Original Herd'!I53</f>
        <v>0.8888888888888888</v>
      </c>
      <c r="AJ53">
        <f>'Original Herd'!J53</f>
        <v>3</v>
      </c>
      <c r="AK53">
        <f>'Original Herd'!K53</f>
        <v>2.6666666666666665</v>
      </c>
      <c r="AL53">
        <f>'Original Herd'!L53</f>
        <v>0</v>
      </c>
    </row>
    <row r="54" spans="2:38" ht="12.75">
      <c r="B54" s="97">
        <f t="shared" si="3"/>
        <v>4</v>
      </c>
      <c r="C54" s="103">
        <f t="shared" si="3"/>
        <v>0</v>
      </c>
      <c r="D54" s="103">
        <f t="shared" si="3"/>
        <v>480</v>
      </c>
      <c r="E54" s="103">
        <f>H31</f>
        <v>1</v>
      </c>
      <c r="F54" s="103">
        <f>IF(E54&gt;0,CHOOSE(E54,C$16,C$17,C$18),0)</f>
        <v>120</v>
      </c>
      <c r="G54" s="278">
        <f t="shared" si="5"/>
        <v>4.5</v>
      </c>
      <c r="H54" s="106">
        <f>F54*G54</f>
        <v>540</v>
      </c>
      <c r="I54" s="49">
        <f t="shared" si="6"/>
        <v>0.8888888888888888</v>
      </c>
      <c r="J54" s="105">
        <f>G31</f>
        <v>3</v>
      </c>
      <c r="K54" s="49">
        <f>I54*J54</f>
        <v>2.6666666666666665</v>
      </c>
      <c r="L54" s="51">
        <f t="shared" si="4"/>
        <v>0</v>
      </c>
      <c r="M54" s="129">
        <f>K54-'Original Herd'!K54</f>
        <v>0</v>
      </c>
      <c r="N54" s="129">
        <f>L54-'Original Herd'!L54</f>
        <v>0</v>
      </c>
      <c r="AB54">
        <f>'Original Herd'!B54</f>
        <v>4</v>
      </c>
      <c r="AC54">
        <f>'Original Herd'!C54</f>
        <v>0</v>
      </c>
      <c r="AD54">
        <f>'Original Herd'!D54</f>
        <v>480</v>
      </c>
      <c r="AE54">
        <f>'Original Herd'!E54</f>
        <v>1</v>
      </c>
      <c r="AF54">
        <f>'Original Herd'!F54</f>
        <v>120</v>
      </c>
      <c r="AG54">
        <f>'Original Herd'!G54</f>
        <v>4.5</v>
      </c>
      <c r="AH54">
        <f>'Original Herd'!H54</f>
        <v>540</v>
      </c>
      <c r="AI54">
        <f>'Original Herd'!I54</f>
        <v>0.8888888888888888</v>
      </c>
      <c r="AJ54">
        <f>'Original Herd'!J54</f>
        <v>3</v>
      </c>
      <c r="AK54">
        <f>'Original Herd'!K54</f>
        <v>2.6666666666666665</v>
      </c>
      <c r="AL54">
        <f>'Original Herd'!L54</f>
        <v>0</v>
      </c>
    </row>
    <row r="55" spans="2:38" ht="12.75">
      <c r="B55" s="97">
        <f t="shared" si="3"/>
        <v>5</v>
      </c>
      <c r="C55" s="103">
        <f t="shared" si="3"/>
        <v>0</v>
      </c>
      <c r="D55" s="103">
        <f t="shared" si="3"/>
        <v>480</v>
      </c>
      <c r="E55" s="103">
        <f>H32</f>
        <v>1</v>
      </c>
      <c r="F55" s="103">
        <f>IF(E55&gt;0,CHOOSE(E55,C$16,C$17,C$18),0)</f>
        <v>120</v>
      </c>
      <c r="G55" s="278">
        <f t="shared" si="5"/>
        <v>4.5</v>
      </c>
      <c r="H55" s="106">
        <f>F55*G55</f>
        <v>540</v>
      </c>
      <c r="I55" s="49">
        <f t="shared" si="6"/>
        <v>0.8888888888888888</v>
      </c>
      <c r="J55" s="105">
        <f>G32</f>
        <v>3</v>
      </c>
      <c r="K55" s="49">
        <f>I55*J55</f>
        <v>2.6666666666666665</v>
      </c>
      <c r="L55" s="51">
        <f t="shared" si="4"/>
        <v>0</v>
      </c>
      <c r="M55" s="129">
        <f>K55-'Original Herd'!K55</f>
        <v>0</v>
      </c>
      <c r="N55" s="129">
        <f>L55-'Original Herd'!L55</f>
        <v>0</v>
      </c>
      <c r="AB55">
        <f>'Original Herd'!B55</f>
        <v>5</v>
      </c>
      <c r="AC55">
        <f>'Original Herd'!C55</f>
        <v>0</v>
      </c>
      <c r="AD55">
        <f>'Original Herd'!D55</f>
        <v>480</v>
      </c>
      <c r="AE55">
        <f>'Original Herd'!E55</f>
        <v>1</v>
      </c>
      <c r="AF55">
        <f>'Original Herd'!F55</f>
        <v>120</v>
      </c>
      <c r="AG55">
        <f>'Original Herd'!G55</f>
        <v>4.5</v>
      </c>
      <c r="AH55">
        <f>'Original Herd'!H55</f>
        <v>540</v>
      </c>
      <c r="AI55">
        <f>'Original Herd'!I55</f>
        <v>0.8888888888888888</v>
      </c>
      <c r="AJ55">
        <f>'Original Herd'!J55</f>
        <v>3</v>
      </c>
      <c r="AK55">
        <f>'Original Herd'!K55</f>
        <v>2.6666666666666665</v>
      </c>
      <c r="AL55">
        <f>'Original Herd'!L55</f>
        <v>0</v>
      </c>
    </row>
    <row r="56" spans="2:38" ht="12.75">
      <c r="B56" s="97">
        <f aca="true" t="shared" si="7" ref="B56:D65">B33</f>
        <v>6</v>
      </c>
      <c r="C56" s="103">
        <f t="shared" si="7"/>
        <v>0</v>
      </c>
      <c r="D56" s="103">
        <f t="shared" si="7"/>
        <v>480</v>
      </c>
      <c r="E56" s="103">
        <f aca="true" t="shared" si="8" ref="E56:E65">H33</f>
        <v>1</v>
      </c>
      <c r="F56" s="103">
        <f aca="true" t="shared" si="9" ref="F56:F65">IF(E56&gt;0,CHOOSE(E56,C$16,C$17,C$18),0)</f>
        <v>120</v>
      </c>
      <c r="G56" s="278">
        <f t="shared" si="5"/>
        <v>4.5</v>
      </c>
      <c r="H56" s="106">
        <f aca="true" t="shared" si="10" ref="H56:H65">F56*G56</f>
        <v>540</v>
      </c>
      <c r="I56" s="49">
        <f t="shared" si="6"/>
        <v>0.8888888888888888</v>
      </c>
      <c r="J56" s="105">
        <f aca="true" t="shared" si="11" ref="J56:J65">G33</f>
        <v>3</v>
      </c>
      <c r="K56" s="49">
        <f aca="true" t="shared" si="12" ref="K56:K65">I56*J56</f>
        <v>2.6666666666666665</v>
      </c>
      <c r="L56" s="51">
        <f t="shared" si="4"/>
        <v>0</v>
      </c>
      <c r="M56" s="129">
        <f>K56-'Original Herd'!K56</f>
        <v>0</v>
      </c>
      <c r="N56" s="129">
        <f>L56-'Original Herd'!L56</f>
        <v>0</v>
      </c>
      <c r="AB56">
        <f>'Original Herd'!B56</f>
        <v>6</v>
      </c>
      <c r="AC56">
        <f>'Original Herd'!C56</f>
        <v>0</v>
      </c>
      <c r="AD56">
        <f>'Original Herd'!D56</f>
        <v>480</v>
      </c>
      <c r="AE56">
        <f>'Original Herd'!E56</f>
        <v>1</v>
      </c>
      <c r="AF56">
        <f>'Original Herd'!F56</f>
        <v>120</v>
      </c>
      <c r="AG56">
        <f>'Original Herd'!G56</f>
        <v>4.5</v>
      </c>
      <c r="AH56">
        <f>'Original Herd'!H56</f>
        <v>540</v>
      </c>
      <c r="AI56">
        <f>'Original Herd'!I56</f>
        <v>0.8888888888888888</v>
      </c>
      <c r="AJ56">
        <f>'Original Herd'!J56</f>
        <v>3</v>
      </c>
      <c r="AK56">
        <f>'Original Herd'!K56</f>
        <v>2.6666666666666665</v>
      </c>
      <c r="AL56">
        <f>'Original Herd'!L56</f>
        <v>0</v>
      </c>
    </row>
    <row r="57" spans="2:38" ht="12.75">
      <c r="B57" s="97">
        <f t="shared" si="7"/>
        <v>7</v>
      </c>
      <c r="C57" s="103">
        <f t="shared" si="7"/>
        <v>0</v>
      </c>
      <c r="D57" s="103">
        <f t="shared" si="7"/>
        <v>480</v>
      </c>
      <c r="E57" s="103">
        <f t="shared" si="8"/>
        <v>1</v>
      </c>
      <c r="F57" s="103">
        <f t="shared" si="9"/>
        <v>120</v>
      </c>
      <c r="G57" s="278">
        <f t="shared" si="5"/>
        <v>4.5</v>
      </c>
      <c r="H57" s="106">
        <f t="shared" si="10"/>
        <v>540</v>
      </c>
      <c r="I57" s="49">
        <f t="shared" si="6"/>
        <v>0.8888888888888888</v>
      </c>
      <c r="J57" s="105">
        <f t="shared" si="11"/>
        <v>3</v>
      </c>
      <c r="K57" s="49">
        <f t="shared" si="12"/>
        <v>2.6666666666666665</v>
      </c>
      <c r="L57" s="51">
        <f t="shared" si="4"/>
        <v>0</v>
      </c>
      <c r="M57" s="129">
        <f>K57-'Original Herd'!K57</f>
        <v>0</v>
      </c>
      <c r="N57" s="129">
        <f>L57-'Original Herd'!L57</f>
        <v>0</v>
      </c>
      <c r="AB57">
        <f>'Original Herd'!B57</f>
        <v>7</v>
      </c>
      <c r="AC57">
        <f>'Original Herd'!C57</f>
        <v>0</v>
      </c>
      <c r="AD57">
        <f>'Original Herd'!D57</f>
        <v>480</v>
      </c>
      <c r="AE57">
        <f>'Original Herd'!E57</f>
        <v>1</v>
      </c>
      <c r="AF57">
        <f>'Original Herd'!F57</f>
        <v>120</v>
      </c>
      <c r="AG57">
        <f>'Original Herd'!G57</f>
        <v>4.5</v>
      </c>
      <c r="AH57">
        <f>'Original Herd'!H57</f>
        <v>540</v>
      </c>
      <c r="AI57">
        <f>'Original Herd'!I57</f>
        <v>0.8888888888888888</v>
      </c>
      <c r="AJ57">
        <f>'Original Herd'!J57</f>
        <v>3</v>
      </c>
      <c r="AK57">
        <f>'Original Herd'!K57</f>
        <v>2.6666666666666665</v>
      </c>
      <c r="AL57">
        <f>'Original Herd'!L57</f>
        <v>0</v>
      </c>
    </row>
    <row r="58" spans="2:38" ht="12.75">
      <c r="B58" s="97">
        <f t="shared" si="7"/>
        <v>8</v>
      </c>
      <c r="C58" s="103">
        <f t="shared" si="7"/>
        <v>0</v>
      </c>
      <c r="D58" s="103">
        <f t="shared" si="7"/>
        <v>480</v>
      </c>
      <c r="E58" s="103">
        <f t="shared" si="8"/>
        <v>1</v>
      </c>
      <c r="F58" s="103">
        <f t="shared" si="9"/>
        <v>120</v>
      </c>
      <c r="G58" s="278">
        <f t="shared" si="5"/>
        <v>4.5</v>
      </c>
      <c r="H58" s="106">
        <f t="shared" si="10"/>
        <v>540</v>
      </c>
      <c r="I58" s="49">
        <f t="shared" si="6"/>
        <v>0.8888888888888888</v>
      </c>
      <c r="J58" s="105">
        <f t="shared" si="11"/>
        <v>3</v>
      </c>
      <c r="K58" s="49">
        <f t="shared" si="12"/>
        <v>2.6666666666666665</v>
      </c>
      <c r="L58" s="51">
        <f t="shared" si="4"/>
        <v>0</v>
      </c>
      <c r="M58" s="129">
        <f>K58-'Original Herd'!K58</f>
        <v>0</v>
      </c>
      <c r="N58" s="129">
        <f>L58-'Original Herd'!L58</f>
        <v>0</v>
      </c>
      <c r="AB58">
        <f>'Original Herd'!B58</f>
        <v>8</v>
      </c>
      <c r="AC58">
        <f>'Original Herd'!C58</f>
        <v>0</v>
      </c>
      <c r="AD58">
        <f>'Original Herd'!D58</f>
        <v>480</v>
      </c>
      <c r="AE58">
        <f>'Original Herd'!E58</f>
        <v>1</v>
      </c>
      <c r="AF58">
        <f>'Original Herd'!F58</f>
        <v>120</v>
      </c>
      <c r="AG58">
        <f>'Original Herd'!G58</f>
        <v>4.5</v>
      </c>
      <c r="AH58">
        <f>'Original Herd'!H58</f>
        <v>540</v>
      </c>
      <c r="AI58">
        <f>'Original Herd'!I58</f>
        <v>0.8888888888888888</v>
      </c>
      <c r="AJ58">
        <f>'Original Herd'!J58</f>
        <v>3</v>
      </c>
      <c r="AK58">
        <f>'Original Herd'!K58</f>
        <v>2.6666666666666665</v>
      </c>
      <c r="AL58">
        <f>'Original Herd'!L58</f>
        <v>0</v>
      </c>
    </row>
    <row r="59" spans="2:38" ht="12.75">
      <c r="B59" s="97">
        <f t="shared" si="7"/>
        <v>9</v>
      </c>
      <c r="C59" s="103">
        <f t="shared" si="7"/>
        <v>0</v>
      </c>
      <c r="D59" s="103">
        <f t="shared" si="7"/>
        <v>0</v>
      </c>
      <c r="E59" s="103">
        <f t="shared" si="8"/>
        <v>0</v>
      </c>
      <c r="F59" s="103">
        <f t="shared" si="9"/>
        <v>0</v>
      </c>
      <c r="G59" s="278">
        <f t="shared" si="5"/>
        <v>0</v>
      </c>
      <c r="H59" s="106">
        <f t="shared" si="10"/>
        <v>0</v>
      </c>
      <c r="I59" s="49">
        <f t="shared" si="6"/>
        <v>0</v>
      </c>
      <c r="J59" s="105">
        <f t="shared" si="11"/>
        <v>0</v>
      </c>
      <c r="K59" s="49">
        <f t="shared" si="12"/>
        <v>0</v>
      </c>
      <c r="L59" s="51">
        <f t="shared" si="4"/>
        <v>0</v>
      </c>
      <c r="M59" s="129">
        <f>K59-'Original Herd'!K59</f>
        <v>0</v>
      </c>
      <c r="N59" s="129">
        <f>L59-'Original Herd'!L59</f>
        <v>0</v>
      </c>
      <c r="AB59">
        <f>'Original Herd'!B59</f>
        <v>9</v>
      </c>
      <c r="AC59">
        <f>'Original Herd'!C59</f>
        <v>0</v>
      </c>
      <c r="AD59">
        <f>'Original Herd'!D59</f>
        <v>0</v>
      </c>
      <c r="AE59">
        <f>'Original Herd'!E59</f>
        <v>0</v>
      </c>
      <c r="AF59">
        <f>'Original Herd'!F59</f>
        <v>0</v>
      </c>
      <c r="AG59">
        <f>'Original Herd'!G59</f>
        <v>0</v>
      </c>
      <c r="AH59">
        <f>'Original Herd'!H59</f>
        <v>0</v>
      </c>
      <c r="AI59">
        <f>'Original Herd'!I59</f>
        <v>0</v>
      </c>
      <c r="AJ59">
        <f>'Original Herd'!J59</f>
        <v>0</v>
      </c>
      <c r="AK59">
        <f>'Original Herd'!K59</f>
        <v>0</v>
      </c>
      <c r="AL59">
        <f>'Original Herd'!L59</f>
        <v>0</v>
      </c>
    </row>
    <row r="60" spans="2:38" ht="12.75">
      <c r="B60" s="97">
        <f t="shared" si="7"/>
        <v>10</v>
      </c>
      <c r="C60" s="103">
        <f t="shared" si="7"/>
        <v>0</v>
      </c>
      <c r="D60" s="103">
        <f t="shared" si="7"/>
        <v>0</v>
      </c>
      <c r="E60" s="103">
        <f t="shared" si="8"/>
        <v>0</v>
      </c>
      <c r="F60" s="103">
        <f t="shared" si="9"/>
        <v>0</v>
      </c>
      <c r="G60" s="278">
        <f t="shared" si="5"/>
        <v>0</v>
      </c>
      <c r="H60" s="106">
        <f t="shared" si="10"/>
        <v>0</v>
      </c>
      <c r="I60" s="49">
        <f t="shared" si="6"/>
        <v>0</v>
      </c>
      <c r="J60" s="105">
        <f t="shared" si="11"/>
        <v>0</v>
      </c>
      <c r="K60" s="49">
        <f t="shared" si="12"/>
        <v>0</v>
      </c>
      <c r="L60" s="51">
        <f t="shared" si="4"/>
        <v>0</v>
      </c>
      <c r="M60" s="129">
        <f>K60-'Original Herd'!K60</f>
        <v>0</v>
      </c>
      <c r="N60" s="129">
        <f>L60-'Original Herd'!L60</f>
        <v>0</v>
      </c>
      <c r="AB60">
        <f>'Original Herd'!B60</f>
        <v>10</v>
      </c>
      <c r="AC60">
        <f>'Original Herd'!C60</f>
        <v>0</v>
      </c>
      <c r="AD60">
        <f>'Original Herd'!D60</f>
        <v>0</v>
      </c>
      <c r="AE60">
        <f>'Original Herd'!E60</f>
        <v>0</v>
      </c>
      <c r="AF60">
        <f>'Original Herd'!F60</f>
        <v>0</v>
      </c>
      <c r="AG60">
        <f>'Original Herd'!G60</f>
        <v>0</v>
      </c>
      <c r="AH60">
        <f>'Original Herd'!H60</f>
        <v>0</v>
      </c>
      <c r="AI60">
        <f>'Original Herd'!I60</f>
        <v>0</v>
      </c>
      <c r="AJ60">
        <f>'Original Herd'!J60</f>
        <v>0</v>
      </c>
      <c r="AK60">
        <f>'Original Herd'!K60</f>
        <v>0</v>
      </c>
      <c r="AL60">
        <f>'Original Herd'!L60</f>
        <v>0</v>
      </c>
    </row>
    <row r="61" spans="2:38" ht="12.75">
      <c r="B61" s="97">
        <f t="shared" si="7"/>
        <v>11</v>
      </c>
      <c r="C61" s="103">
        <f t="shared" si="7"/>
        <v>0</v>
      </c>
      <c r="D61" s="103">
        <f t="shared" si="7"/>
        <v>0</v>
      </c>
      <c r="E61" s="103">
        <f t="shared" si="8"/>
        <v>0</v>
      </c>
      <c r="F61" s="103">
        <f t="shared" si="9"/>
        <v>0</v>
      </c>
      <c r="G61" s="278">
        <f t="shared" si="5"/>
        <v>0</v>
      </c>
      <c r="H61" s="106">
        <f t="shared" si="10"/>
        <v>0</v>
      </c>
      <c r="I61" s="49">
        <f t="shared" si="6"/>
        <v>0</v>
      </c>
      <c r="J61" s="105">
        <f t="shared" si="11"/>
        <v>0</v>
      </c>
      <c r="K61" s="49">
        <f t="shared" si="12"/>
        <v>0</v>
      </c>
      <c r="L61" s="51">
        <f t="shared" si="4"/>
        <v>0</v>
      </c>
      <c r="M61" s="129">
        <f>K61-'Original Herd'!K61</f>
        <v>0</v>
      </c>
      <c r="N61" s="129">
        <f>L61-'Original Herd'!L61</f>
        <v>0</v>
      </c>
      <c r="AB61">
        <f>'Original Herd'!B61</f>
        <v>11</v>
      </c>
      <c r="AC61">
        <f>'Original Herd'!C61</f>
        <v>0</v>
      </c>
      <c r="AD61">
        <f>'Original Herd'!D61</f>
        <v>0</v>
      </c>
      <c r="AE61">
        <f>'Original Herd'!E61</f>
        <v>0</v>
      </c>
      <c r="AF61">
        <f>'Original Herd'!F61</f>
        <v>0</v>
      </c>
      <c r="AG61">
        <f>'Original Herd'!G61</f>
        <v>0</v>
      </c>
      <c r="AH61">
        <f>'Original Herd'!H61</f>
        <v>0</v>
      </c>
      <c r="AI61">
        <f>'Original Herd'!I61</f>
        <v>0</v>
      </c>
      <c r="AJ61">
        <f>'Original Herd'!J61</f>
        <v>0</v>
      </c>
      <c r="AK61">
        <f>'Original Herd'!K61</f>
        <v>0</v>
      </c>
      <c r="AL61">
        <f>'Original Herd'!L61</f>
        <v>0</v>
      </c>
    </row>
    <row r="62" spans="2:38" ht="12.75">
      <c r="B62" s="97">
        <f t="shared" si="7"/>
        <v>12</v>
      </c>
      <c r="C62" s="103">
        <f t="shared" si="7"/>
        <v>0</v>
      </c>
      <c r="D62" s="103">
        <f t="shared" si="7"/>
        <v>0</v>
      </c>
      <c r="E62" s="103">
        <f t="shared" si="8"/>
        <v>0</v>
      </c>
      <c r="F62" s="103">
        <f t="shared" si="9"/>
        <v>0</v>
      </c>
      <c r="G62" s="278">
        <f t="shared" si="5"/>
        <v>0</v>
      </c>
      <c r="H62" s="106">
        <f t="shared" si="10"/>
        <v>0</v>
      </c>
      <c r="I62" s="49">
        <f t="shared" si="6"/>
        <v>0</v>
      </c>
      <c r="J62" s="105">
        <f t="shared" si="11"/>
        <v>0</v>
      </c>
      <c r="K62" s="49">
        <f t="shared" si="12"/>
        <v>0</v>
      </c>
      <c r="L62" s="51">
        <f t="shared" si="4"/>
        <v>0</v>
      </c>
      <c r="M62" s="129">
        <f>K62-'Original Herd'!K62</f>
        <v>0</v>
      </c>
      <c r="N62" s="129">
        <f>L62-'Original Herd'!L62</f>
        <v>0</v>
      </c>
      <c r="AB62">
        <f>'Original Herd'!B62</f>
        <v>12</v>
      </c>
      <c r="AC62">
        <f>'Original Herd'!C62</f>
        <v>0</v>
      </c>
      <c r="AD62">
        <f>'Original Herd'!D62</f>
        <v>0</v>
      </c>
      <c r="AE62">
        <f>'Original Herd'!E62</f>
        <v>0</v>
      </c>
      <c r="AF62">
        <f>'Original Herd'!F62</f>
        <v>0</v>
      </c>
      <c r="AG62">
        <f>'Original Herd'!G62</f>
        <v>0</v>
      </c>
      <c r="AH62">
        <f>'Original Herd'!H62</f>
        <v>0</v>
      </c>
      <c r="AI62">
        <f>'Original Herd'!I62</f>
        <v>0</v>
      </c>
      <c r="AJ62">
        <f>'Original Herd'!J62</f>
        <v>0</v>
      </c>
      <c r="AK62">
        <f>'Original Herd'!K62</f>
        <v>0</v>
      </c>
      <c r="AL62">
        <f>'Original Herd'!L62</f>
        <v>0</v>
      </c>
    </row>
    <row r="63" spans="2:38" ht="12.75">
      <c r="B63" s="97">
        <f t="shared" si="7"/>
        <v>13</v>
      </c>
      <c r="C63" s="103">
        <f t="shared" si="7"/>
        <v>0</v>
      </c>
      <c r="D63" s="103">
        <f t="shared" si="7"/>
        <v>0</v>
      </c>
      <c r="E63" s="103">
        <f t="shared" si="8"/>
        <v>0</v>
      </c>
      <c r="F63" s="103">
        <f t="shared" si="9"/>
        <v>0</v>
      </c>
      <c r="G63" s="278">
        <f t="shared" si="5"/>
        <v>0</v>
      </c>
      <c r="H63" s="106">
        <f t="shared" si="10"/>
        <v>0</v>
      </c>
      <c r="I63" s="49">
        <f t="shared" si="6"/>
        <v>0</v>
      </c>
      <c r="J63" s="105">
        <f t="shared" si="11"/>
        <v>0</v>
      </c>
      <c r="K63" s="49">
        <f t="shared" si="12"/>
        <v>0</v>
      </c>
      <c r="L63" s="51">
        <f t="shared" si="4"/>
        <v>0</v>
      </c>
      <c r="M63" s="129">
        <f>K63-'Original Herd'!K63</f>
        <v>0</v>
      </c>
      <c r="N63" s="129">
        <f>L63-'Original Herd'!L63</f>
        <v>0</v>
      </c>
      <c r="AB63">
        <f>'Original Herd'!B63</f>
        <v>13</v>
      </c>
      <c r="AC63">
        <f>'Original Herd'!C63</f>
        <v>0</v>
      </c>
      <c r="AD63">
        <f>'Original Herd'!D63</f>
        <v>0</v>
      </c>
      <c r="AE63">
        <f>'Original Herd'!E63</f>
        <v>0</v>
      </c>
      <c r="AF63">
        <f>'Original Herd'!F63</f>
        <v>0</v>
      </c>
      <c r="AG63">
        <f>'Original Herd'!G63</f>
        <v>0</v>
      </c>
      <c r="AH63">
        <f>'Original Herd'!H63</f>
        <v>0</v>
      </c>
      <c r="AI63">
        <f>'Original Herd'!I63</f>
        <v>0</v>
      </c>
      <c r="AJ63">
        <f>'Original Herd'!J63</f>
        <v>0</v>
      </c>
      <c r="AK63">
        <f>'Original Herd'!K63</f>
        <v>0</v>
      </c>
      <c r="AL63">
        <f>'Original Herd'!L63</f>
        <v>0</v>
      </c>
    </row>
    <row r="64" spans="2:38" ht="12.75">
      <c r="B64" s="97">
        <f t="shared" si="7"/>
        <v>14</v>
      </c>
      <c r="C64" s="103">
        <f t="shared" si="7"/>
        <v>0</v>
      </c>
      <c r="D64" s="103">
        <f t="shared" si="7"/>
        <v>0</v>
      </c>
      <c r="E64" s="103">
        <f t="shared" si="8"/>
        <v>0</v>
      </c>
      <c r="F64" s="103">
        <f t="shared" si="9"/>
        <v>0</v>
      </c>
      <c r="G64" s="278">
        <f t="shared" si="5"/>
        <v>0</v>
      </c>
      <c r="H64" s="106">
        <f t="shared" si="10"/>
        <v>0</v>
      </c>
      <c r="I64" s="49">
        <f t="shared" si="6"/>
        <v>0</v>
      </c>
      <c r="J64" s="105">
        <f t="shared" si="11"/>
        <v>0</v>
      </c>
      <c r="K64" s="49">
        <f t="shared" si="12"/>
        <v>0</v>
      </c>
      <c r="L64" s="51">
        <f t="shared" si="4"/>
        <v>0</v>
      </c>
      <c r="M64" s="129">
        <f>K64-'Original Herd'!K64</f>
        <v>0</v>
      </c>
      <c r="N64" s="129">
        <f>L64-'Original Herd'!L64</f>
        <v>0</v>
      </c>
      <c r="AB64">
        <f>'Original Herd'!B64</f>
        <v>14</v>
      </c>
      <c r="AC64">
        <f>'Original Herd'!C64</f>
        <v>0</v>
      </c>
      <c r="AD64">
        <f>'Original Herd'!D64</f>
        <v>0</v>
      </c>
      <c r="AE64">
        <f>'Original Herd'!E64</f>
        <v>0</v>
      </c>
      <c r="AF64">
        <f>'Original Herd'!F64</f>
        <v>0</v>
      </c>
      <c r="AG64">
        <f>'Original Herd'!G64</f>
        <v>0</v>
      </c>
      <c r="AH64">
        <f>'Original Herd'!H64</f>
        <v>0</v>
      </c>
      <c r="AI64">
        <f>'Original Herd'!I64</f>
        <v>0</v>
      </c>
      <c r="AJ64">
        <f>'Original Herd'!J64</f>
        <v>0</v>
      </c>
      <c r="AK64">
        <f>'Original Herd'!K64</f>
        <v>0</v>
      </c>
      <c r="AL64">
        <f>'Original Herd'!L64</f>
        <v>0</v>
      </c>
    </row>
    <row r="65" spans="2:38" ht="12.75">
      <c r="B65" s="98">
        <f t="shared" si="7"/>
        <v>15</v>
      </c>
      <c r="C65" s="107">
        <f t="shared" si="7"/>
        <v>0</v>
      </c>
      <c r="D65" s="107">
        <f t="shared" si="7"/>
        <v>0</v>
      </c>
      <c r="E65" s="107">
        <f t="shared" si="8"/>
        <v>0</v>
      </c>
      <c r="F65" s="107">
        <f t="shared" si="9"/>
        <v>0</v>
      </c>
      <c r="G65" s="279">
        <f t="shared" si="5"/>
        <v>0</v>
      </c>
      <c r="H65" s="109">
        <f t="shared" si="10"/>
        <v>0</v>
      </c>
      <c r="I65" s="50">
        <f t="shared" si="6"/>
        <v>0</v>
      </c>
      <c r="J65" s="108">
        <f t="shared" si="11"/>
        <v>0</v>
      </c>
      <c r="K65" s="50">
        <f t="shared" si="12"/>
        <v>0</v>
      </c>
      <c r="L65" s="52">
        <f t="shared" si="4"/>
        <v>0</v>
      </c>
      <c r="M65" s="129">
        <f>K65-'Original Herd'!K65</f>
        <v>0</v>
      </c>
      <c r="N65" s="129">
        <f>L65-'Original Herd'!L65</f>
        <v>0</v>
      </c>
      <c r="AB65">
        <f>'Original Herd'!B65</f>
        <v>15</v>
      </c>
      <c r="AC65">
        <f>'Original Herd'!C65</f>
        <v>0</v>
      </c>
      <c r="AD65">
        <f>'Original Herd'!D65</f>
        <v>0</v>
      </c>
      <c r="AE65">
        <f>'Original Herd'!E65</f>
        <v>0</v>
      </c>
      <c r="AF65">
        <f>'Original Herd'!F65</f>
        <v>0</v>
      </c>
      <c r="AG65">
        <f>'Original Herd'!G65</f>
        <v>0</v>
      </c>
      <c r="AH65">
        <f>'Original Herd'!H65</f>
        <v>0</v>
      </c>
      <c r="AI65">
        <f>'Original Herd'!I65</f>
        <v>0</v>
      </c>
      <c r="AJ65">
        <f>'Original Herd'!J65</f>
        <v>0</v>
      </c>
      <c r="AK65">
        <f>'Original Herd'!K65</f>
        <v>0</v>
      </c>
      <c r="AL65">
        <f>'Original Herd'!L65</f>
        <v>0</v>
      </c>
    </row>
    <row r="66" spans="2:11" ht="12.75">
      <c r="B66" s="28"/>
      <c r="C66" s="15"/>
      <c r="F66" s="30"/>
      <c r="G66" s="30"/>
      <c r="H66" s="29"/>
      <c r="J66" s="29"/>
      <c r="K66" s="29"/>
    </row>
    <row r="67" spans="2:28" ht="15.75">
      <c r="B67" s="71" t="s">
        <v>67</v>
      </c>
      <c r="H67" s="31">
        <f>IF(K51&gt;3,"   *One or more groups exceeds 3 hrs milking/day","")</f>
      </c>
      <c r="I67" s="31"/>
      <c r="J67" s="31">
        <f>IF(MAX(K51:K65)&gt;3,"   *One or more groups exceeds 3 hrs milking/day","")</f>
      </c>
      <c r="AB67" t="str">
        <f>'Original Herd'!B67</f>
        <v>Parlor Time Summary</v>
      </c>
    </row>
    <row r="68" spans="2:30" ht="12.75">
      <c r="B68" s="218"/>
      <c r="C68" s="219" t="s">
        <v>56</v>
      </c>
      <c r="D68" s="183" t="s">
        <v>69</v>
      </c>
      <c r="E68" s="127" t="s">
        <v>89</v>
      </c>
      <c r="F68" s="126" t="s">
        <v>89</v>
      </c>
      <c r="AC68" t="str">
        <f>'Original Herd'!C68</f>
        <v>Total Parlor</v>
      </c>
      <c r="AD68" t="str">
        <f>'Original Herd'!D68</f>
        <v>Extra Parlor</v>
      </c>
    </row>
    <row r="69" spans="2:30" ht="12.75">
      <c r="B69" s="184" t="s">
        <v>53</v>
      </c>
      <c r="C69" s="220" t="s">
        <v>55</v>
      </c>
      <c r="D69" s="186" t="s">
        <v>70</v>
      </c>
      <c r="E69" s="126" t="s">
        <v>5</v>
      </c>
      <c r="F69" s="126" t="s">
        <v>94</v>
      </c>
      <c r="AB69" t="str">
        <f>'Original Herd'!B69</f>
        <v>ParlorID</v>
      </c>
      <c r="AC69" t="str">
        <f>'Original Herd'!C69</f>
        <v>Time</v>
      </c>
      <c r="AD69" t="str">
        <f>'Original Herd'!D69</f>
        <v>Time Avail.</v>
      </c>
    </row>
    <row r="70" spans="2:30" ht="12.75">
      <c r="B70" s="187" t="s">
        <v>11</v>
      </c>
      <c r="C70" s="220" t="s">
        <v>66</v>
      </c>
      <c r="D70" s="186" t="s">
        <v>71</v>
      </c>
      <c r="E70" s="145" t="s">
        <v>55</v>
      </c>
      <c r="F70" s="146" t="s">
        <v>70</v>
      </c>
      <c r="AB70" t="str">
        <f>'Original Herd'!B70</f>
        <v>No.</v>
      </c>
      <c r="AC70" t="str">
        <f>'Original Herd'!C70</f>
        <v>Hrs/day </v>
      </c>
      <c r="AD70" t="str">
        <f>'Original Herd'!D70</f>
        <v>Hrs/day</v>
      </c>
    </row>
    <row r="71" spans="2:30" ht="12.75">
      <c r="B71" s="100">
        <f>B16</f>
        <v>1</v>
      </c>
      <c r="C71" s="63">
        <f>SUMIF(E51:E65,B71,L51:L65)</f>
        <v>19.666666666666668</v>
      </c>
      <c r="D71" s="110">
        <f>D16-C71</f>
        <v>2.333333333333332</v>
      </c>
      <c r="E71" s="142">
        <f>'Original Herd'!C71</f>
        <v>21.333333333333332</v>
      </c>
      <c r="F71" s="142">
        <f>'Original Herd'!D71</f>
        <v>0.6666666666666679</v>
      </c>
      <c r="AB71">
        <f>'Original Herd'!B71</f>
        <v>1</v>
      </c>
      <c r="AC71">
        <f>'Original Herd'!C71</f>
        <v>21.333333333333332</v>
      </c>
      <c r="AD71">
        <f>'Original Herd'!D71</f>
        <v>0.6666666666666679</v>
      </c>
    </row>
    <row r="72" spans="2:30" ht="12.75">
      <c r="B72" s="101">
        <f>B17</f>
        <v>2</v>
      </c>
      <c r="C72" s="65">
        <f>SUMIF(E51:E65,B72,L51:L65)</f>
        <v>0</v>
      </c>
      <c r="D72" s="111">
        <f>D17-C72</f>
        <v>8</v>
      </c>
      <c r="E72" s="142">
        <f>'Original Herd'!C72</f>
        <v>0</v>
      </c>
      <c r="F72" s="142">
        <f>'Original Herd'!D72</f>
        <v>8</v>
      </c>
      <c r="AB72">
        <f>'Original Herd'!B72</f>
        <v>2</v>
      </c>
      <c r="AC72">
        <f>'Original Herd'!C72</f>
        <v>0</v>
      </c>
      <c r="AD72">
        <f>'Original Herd'!D72</f>
        <v>8</v>
      </c>
    </row>
    <row r="73" spans="2:30" ht="12.75">
      <c r="B73" s="102">
        <f>B18</f>
        <v>3</v>
      </c>
      <c r="C73" s="67">
        <f>SUMIF(E51:E65,B73,L51:L65)</f>
        <v>0</v>
      </c>
      <c r="D73" s="112">
        <f>D18-C73</f>
        <v>0</v>
      </c>
      <c r="E73" s="142">
        <f>'Original Herd'!C73</f>
        <v>0</v>
      </c>
      <c r="F73" s="142">
        <f>'Original Herd'!D73</f>
        <v>0</v>
      </c>
      <c r="AB73">
        <f>'Original Herd'!B73</f>
        <v>3</v>
      </c>
      <c r="AC73">
        <f>'Original Herd'!C73</f>
        <v>0</v>
      </c>
      <c r="AD73">
        <f>'Original Herd'!D73</f>
        <v>0</v>
      </c>
    </row>
    <row r="74" spans="2:5" ht="12.75">
      <c r="B74" s="13"/>
      <c r="D74" s="31">
        <f>IF(MIN(D71:D73)&lt;0,"   *Parlor time exceeds maximum","")</f>
      </c>
      <c r="E74" s="31"/>
    </row>
    <row r="75" ht="16.5" customHeight="1">
      <c r="B75" s="13"/>
    </row>
    <row r="76" ht="12.75" customHeight="1">
      <c r="A76" s="72" t="s">
        <v>8</v>
      </c>
    </row>
    <row r="77" spans="1:27" ht="12.75" customHeight="1">
      <c r="A77" s="72" t="s">
        <v>43</v>
      </c>
      <c r="E77" s="10"/>
      <c r="F77" s="10"/>
      <c r="G77" s="10"/>
      <c r="H77" s="10"/>
      <c r="I77" s="10"/>
      <c r="J77" s="10"/>
      <c r="K77" s="2"/>
      <c r="L77" s="2"/>
      <c r="M77" s="2"/>
      <c r="N77" s="2"/>
      <c r="O77" s="2"/>
      <c r="P77" s="2"/>
      <c r="AA77" t="str">
        <f>'Original Herd'!A77</f>
        <v>Summary</v>
      </c>
    </row>
    <row r="78" spans="2:33" ht="12.75" customHeight="1">
      <c r="B78" s="221"/>
      <c r="C78" s="182"/>
      <c r="D78" s="222"/>
      <c r="E78" s="223"/>
      <c r="F78" s="224"/>
      <c r="G78" s="225" t="s">
        <v>48</v>
      </c>
      <c r="H78" s="226"/>
      <c r="I78" s="226"/>
      <c r="J78" s="222"/>
      <c r="K78" s="2"/>
      <c r="L78" s="2"/>
      <c r="M78" s="2"/>
      <c r="N78" s="2"/>
      <c r="O78" s="2"/>
      <c r="P78" s="2"/>
      <c r="AG78" t="str">
        <f>'Original Herd'!G78</f>
        <v>Per Cow/d</v>
      </c>
    </row>
    <row r="79" spans="2:13" ht="18">
      <c r="B79" s="227"/>
      <c r="C79" s="224"/>
      <c r="D79" s="228"/>
      <c r="E79" s="223"/>
      <c r="F79" s="226"/>
      <c r="G79" s="226"/>
      <c r="H79" s="226"/>
      <c r="I79" s="226"/>
      <c r="J79" s="228"/>
      <c r="K79" s="127" t="s">
        <v>93</v>
      </c>
      <c r="L79" s="127" t="s">
        <v>93</v>
      </c>
      <c r="M79" s="127" t="s">
        <v>93</v>
      </c>
    </row>
    <row r="80" spans="2:36" ht="18">
      <c r="B80" s="229"/>
      <c r="C80" s="185" t="s">
        <v>20</v>
      </c>
      <c r="D80" s="186" t="s">
        <v>0</v>
      </c>
      <c r="E80" s="230" t="s">
        <v>32</v>
      </c>
      <c r="F80" s="231" t="s">
        <v>17</v>
      </c>
      <c r="G80" s="231" t="s">
        <v>46</v>
      </c>
      <c r="H80" s="231" t="s">
        <v>36</v>
      </c>
      <c r="I80" s="231" t="s">
        <v>26</v>
      </c>
      <c r="J80" s="186" t="s">
        <v>50</v>
      </c>
      <c r="K80" s="130" t="s">
        <v>36</v>
      </c>
      <c r="L80" s="130" t="s">
        <v>26</v>
      </c>
      <c r="M80" s="130" t="s">
        <v>50</v>
      </c>
      <c r="AC80" t="str">
        <f>'Original Herd'!C80</f>
        <v>Groups</v>
      </c>
      <c r="AD80" t="str">
        <f>'Original Herd'!D80</f>
        <v>Group</v>
      </c>
      <c r="AE80" t="str">
        <f>'Original Herd'!E80</f>
        <v>Feed</v>
      </c>
      <c r="AF80" t="str">
        <f>'Original Herd'!F80</f>
        <v>Milking</v>
      </c>
      <c r="AG80" t="str">
        <f>'Original Herd'!G80</f>
        <v>Labor</v>
      </c>
      <c r="AH80" t="str">
        <f>'Original Herd'!H80</f>
        <v>Total</v>
      </c>
      <c r="AI80" t="str">
        <f>'Original Herd'!I80</f>
        <v>Milk</v>
      </c>
      <c r="AJ80" t="str">
        <f>'Original Herd'!J80</f>
        <v>Net Cash</v>
      </c>
    </row>
    <row r="81" spans="2:36" ht="12.75">
      <c r="B81" s="230" t="s">
        <v>0</v>
      </c>
      <c r="C81" s="185" t="s">
        <v>21</v>
      </c>
      <c r="D81" s="186" t="s">
        <v>22</v>
      </c>
      <c r="E81" s="230" t="s">
        <v>44</v>
      </c>
      <c r="F81" s="231" t="s">
        <v>18</v>
      </c>
      <c r="G81" s="231" t="s">
        <v>47</v>
      </c>
      <c r="H81" s="231" t="s">
        <v>47</v>
      </c>
      <c r="I81" s="231" t="s">
        <v>49</v>
      </c>
      <c r="J81" s="186" t="s">
        <v>49</v>
      </c>
      <c r="K81" s="130" t="s">
        <v>47</v>
      </c>
      <c r="L81" s="130" t="s">
        <v>49</v>
      </c>
      <c r="M81" s="130" t="s">
        <v>49</v>
      </c>
      <c r="AB81" t="str">
        <f>'Original Herd'!B81</f>
        <v>Group</v>
      </c>
      <c r="AC81" t="str">
        <f>'Original Herd'!C81</f>
        <v>Identical</v>
      </c>
      <c r="AD81" t="str">
        <f>'Original Herd'!D81</f>
        <v>Size</v>
      </c>
      <c r="AE81" t="str">
        <f>'Original Herd'!E81</f>
        <v>Cost</v>
      </c>
      <c r="AF81" t="str">
        <f>'Original Herd'!F81</f>
        <v>Supplies</v>
      </c>
      <c r="AG81" t="str">
        <f>'Original Herd'!G81</f>
        <v>Expense</v>
      </c>
      <c r="AH81" t="str">
        <f>'Original Herd'!H81</f>
        <v>Expense</v>
      </c>
      <c r="AI81" t="str">
        <f>'Original Herd'!I81</f>
        <v>Income</v>
      </c>
      <c r="AJ81" t="str">
        <f>'Original Herd'!J81</f>
        <v>Income</v>
      </c>
    </row>
    <row r="82" spans="2:36" ht="12.75">
      <c r="B82" s="232" t="s">
        <v>9</v>
      </c>
      <c r="C82" s="188" t="s">
        <v>11</v>
      </c>
      <c r="D82" s="189" t="s">
        <v>11</v>
      </c>
      <c r="E82" s="230" t="s">
        <v>45</v>
      </c>
      <c r="F82" s="185" t="s">
        <v>45</v>
      </c>
      <c r="G82" s="185" t="s">
        <v>45</v>
      </c>
      <c r="H82" s="185" t="s">
        <v>45</v>
      </c>
      <c r="I82" s="185" t="s">
        <v>45</v>
      </c>
      <c r="J82" s="186" t="s">
        <v>45</v>
      </c>
      <c r="K82" s="145" t="s">
        <v>45</v>
      </c>
      <c r="L82" s="146" t="s">
        <v>45</v>
      </c>
      <c r="M82" s="146" t="s">
        <v>45</v>
      </c>
      <c r="AB82" t="str">
        <f>'Original Herd'!B82</f>
        <v>ID</v>
      </c>
      <c r="AC82" t="str">
        <f>'Original Herd'!C82</f>
        <v>No.</v>
      </c>
      <c r="AD82" t="str">
        <f>'Original Herd'!D82</f>
        <v>No.</v>
      </c>
      <c r="AE82" t="str">
        <f>'Original Herd'!E82</f>
        <v>$/d</v>
      </c>
      <c r="AF82" t="str">
        <f>'Original Herd'!F82</f>
        <v>$/d</v>
      </c>
      <c r="AG82" t="str">
        <f>'Original Herd'!G82</f>
        <v>$/d</v>
      </c>
      <c r="AH82" t="str">
        <f>'Original Herd'!H82</f>
        <v>$/d</v>
      </c>
      <c r="AI82" t="str">
        <f>'Original Herd'!I82</f>
        <v>$/d</v>
      </c>
      <c r="AJ82" t="str">
        <f>'Original Herd'!J82</f>
        <v>$/d</v>
      </c>
    </row>
    <row r="83" spans="2:36" ht="12.75">
      <c r="B83" s="100">
        <f aca="true" t="shared" si="13" ref="B83:D87">B28</f>
        <v>1</v>
      </c>
      <c r="C83" s="104">
        <f t="shared" si="13"/>
        <v>7</v>
      </c>
      <c r="D83" s="104">
        <f t="shared" si="13"/>
        <v>480</v>
      </c>
      <c r="E83" s="41">
        <f aca="true" t="shared" si="14" ref="E83:E97">IF(C83*D83&gt;0,K28*J28,0)</f>
        <v>3.659090909090909</v>
      </c>
      <c r="F83" s="35">
        <f>IF(AND(H28&gt;0,C83*D83&gt;0),CHOOSE(H28,G$16*G28,G$17*G28,G$18*G28),0)</f>
        <v>0.1</v>
      </c>
      <c r="G83" s="35">
        <f aca="true" t="shared" si="15" ref="G83:G97">IF(AND(H28&gt;0,C83*D83&gt;0),CHOOSE(H28,K51*E$16*F$16/D51,K51*E$17*F$17/D51,K51*E$18*F$18/D51),0)</f>
        <v>0.19047619047619044</v>
      </c>
      <c r="H83" s="35">
        <f>SUM(E83:G83)</f>
        <v>3.9495670995670995</v>
      </c>
      <c r="I83" s="35">
        <f aca="true" t="shared" si="16" ref="I83:I97">IF(C83*D83&gt;0,(IF($G$23="Yes",M28,F28)/100)*L28,0)</f>
        <v>9.545454545454545</v>
      </c>
      <c r="J83" s="36">
        <f aca="true" t="shared" si="17" ref="J83:J97">I83-H83</f>
        <v>5.5958874458874455</v>
      </c>
      <c r="K83" s="131">
        <f>H83-'Original Herd'!H83</f>
        <v>-0.23765512265512267</v>
      </c>
      <c r="L83" s="131">
        <f>I83-'Original Herd'!I83</f>
        <v>-0.954545454545455</v>
      </c>
      <c r="M83" s="131">
        <f>J83-'Original Herd'!J83</f>
        <v>-0.7168903318903324</v>
      </c>
      <c r="AB83">
        <f>'Original Herd'!B83</f>
        <v>1</v>
      </c>
      <c r="AC83">
        <f>'Original Herd'!C83</f>
        <v>8</v>
      </c>
      <c r="AD83">
        <f>'Original Herd'!D83</f>
        <v>480</v>
      </c>
      <c r="AE83">
        <f>'Original Herd'!E83</f>
        <v>3.8150000000000004</v>
      </c>
      <c r="AF83">
        <f>'Original Herd'!F83</f>
        <v>0.15000000000000002</v>
      </c>
      <c r="AG83">
        <f>'Original Herd'!G83</f>
        <v>0.2222222222222222</v>
      </c>
      <c r="AH83">
        <f>'Original Herd'!H83</f>
        <v>4.187222222222222</v>
      </c>
      <c r="AI83">
        <f>'Original Herd'!I83</f>
        <v>10.5</v>
      </c>
      <c r="AJ83">
        <f>'Original Herd'!J83</f>
        <v>6.312777777777778</v>
      </c>
    </row>
    <row r="84" spans="2:36" ht="12.75">
      <c r="B84" s="101">
        <f t="shared" si="13"/>
        <v>2</v>
      </c>
      <c r="C84" s="103">
        <f t="shared" si="13"/>
        <v>1</v>
      </c>
      <c r="D84" s="103">
        <f t="shared" si="13"/>
        <v>480</v>
      </c>
      <c r="E84" s="43">
        <f t="shared" si="14"/>
        <v>3.8150000000000004</v>
      </c>
      <c r="F84" s="44">
        <f aca="true" t="shared" si="18" ref="F84:F97">IF(AND(H29&gt;0,C84*D84&gt;0),CHOOSE(H29,G$16*G29,G$17*G29,G$18*G29),0)</f>
        <v>0.15000000000000002</v>
      </c>
      <c r="G84" s="44">
        <f t="shared" si="15"/>
        <v>0.2222222222222222</v>
      </c>
      <c r="H84" s="44">
        <f aca="true" t="shared" si="19" ref="H84:H97">SUM(E84:G84)</f>
        <v>4.187222222222222</v>
      </c>
      <c r="I84" s="44">
        <f t="shared" si="16"/>
        <v>10.5</v>
      </c>
      <c r="J84" s="45">
        <f t="shared" si="17"/>
        <v>6.312777777777778</v>
      </c>
      <c r="K84" s="129">
        <f>H84-'Original Herd'!H84</f>
        <v>4.187222222222222</v>
      </c>
      <c r="L84" s="129">
        <f>I84-'Original Herd'!I84</f>
        <v>10.5</v>
      </c>
      <c r="M84" s="129">
        <f>J84-'Original Herd'!J84</f>
        <v>6.312777777777778</v>
      </c>
      <c r="AB84">
        <f>'Original Herd'!B84</f>
        <v>2</v>
      </c>
      <c r="AC84">
        <f>'Original Herd'!C84</f>
        <v>0</v>
      </c>
      <c r="AD84">
        <f>'Original Herd'!D84</f>
        <v>480</v>
      </c>
      <c r="AE84">
        <f>'Original Herd'!E84</f>
        <v>0</v>
      </c>
      <c r="AF84">
        <f>'Original Herd'!F84</f>
        <v>0</v>
      </c>
      <c r="AG84">
        <f>'Original Herd'!G84</f>
        <v>0</v>
      </c>
      <c r="AH84">
        <f>'Original Herd'!H84</f>
        <v>0</v>
      </c>
      <c r="AI84">
        <f>'Original Herd'!I84</f>
        <v>0</v>
      </c>
      <c r="AJ84">
        <f>'Original Herd'!J84</f>
        <v>0</v>
      </c>
    </row>
    <row r="85" spans="2:36" ht="12.75">
      <c r="B85" s="101">
        <f t="shared" si="13"/>
        <v>3</v>
      </c>
      <c r="C85" s="103">
        <f t="shared" si="13"/>
        <v>1</v>
      </c>
      <c r="D85" s="103">
        <f t="shared" si="13"/>
        <v>180</v>
      </c>
      <c r="E85" s="43">
        <f t="shared" si="14"/>
        <v>3.8150000000000004</v>
      </c>
      <c r="F85" s="44">
        <f t="shared" si="18"/>
        <v>0.15000000000000002</v>
      </c>
      <c r="G85" s="44">
        <f t="shared" si="15"/>
        <v>0.2222222222222222</v>
      </c>
      <c r="H85" s="44">
        <f t="shared" si="19"/>
        <v>4.187222222222222</v>
      </c>
      <c r="I85" s="44">
        <f t="shared" si="16"/>
        <v>10.5</v>
      </c>
      <c r="J85" s="45">
        <f t="shared" si="17"/>
        <v>6.312777777777778</v>
      </c>
      <c r="K85" s="129">
        <f>H85-'Original Herd'!H85</f>
        <v>4.187222222222222</v>
      </c>
      <c r="L85" s="129">
        <f>I85-'Original Herd'!I85</f>
        <v>10.5</v>
      </c>
      <c r="M85" s="129">
        <f>J85-'Original Herd'!J85</f>
        <v>6.312777777777778</v>
      </c>
      <c r="AB85">
        <f>'Original Herd'!B85</f>
        <v>3</v>
      </c>
      <c r="AC85">
        <f>'Original Herd'!C85</f>
        <v>0</v>
      </c>
      <c r="AD85">
        <f>'Original Herd'!D85</f>
        <v>480</v>
      </c>
      <c r="AE85">
        <f>'Original Herd'!E85</f>
        <v>0</v>
      </c>
      <c r="AF85">
        <f>'Original Herd'!F85</f>
        <v>0</v>
      </c>
      <c r="AG85">
        <f>'Original Herd'!G85</f>
        <v>0</v>
      </c>
      <c r="AH85">
        <f>'Original Herd'!H85</f>
        <v>0</v>
      </c>
      <c r="AI85">
        <f>'Original Herd'!I85</f>
        <v>0</v>
      </c>
      <c r="AJ85">
        <f>'Original Herd'!J85</f>
        <v>0</v>
      </c>
    </row>
    <row r="86" spans="2:36" ht="12.75">
      <c r="B86" s="101">
        <f t="shared" si="13"/>
        <v>4</v>
      </c>
      <c r="C86" s="103">
        <f t="shared" si="13"/>
        <v>0</v>
      </c>
      <c r="D86" s="103">
        <f t="shared" si="13"/>
        <v>480</v>
      </c>
      <c r="E86" s="43">
        <f t="shared" si="14"/>
        <v>0</v>
      </c>
      <c r="F86" s="44">
        <f t="shared" si="18"/>
        <v>0</v>
      </c>
      <c r="G86" s="44">
        <f t="shared" si="15"/>
        <v>0</v>
      </c>
      <c r="H86" s="44">
        <f t="shared" si="19"/>
        <v>0</v>
      </c>
      <c r="I86" s="44">
        <f t="shared" si="16"/>
        <v>0</v>
      </c>
      <c r="J86" s="45">
        <f t="shared" si="17"/>
        <v>0</v>
      </c>
      <c r="K86" s="129">
        <f>H86-'Original Herd'!H86</f>
        <v>0</v>
      </c>
      <c r="L86" s="129">
        <f>I86-'Original Herd'!I86</f>
        <v>0</v>
      </c>
      <c r="M86" s="129">
        <f>J86-'Original Herd'!J86</f>
        <v>0</v>
      </c>
      <c r="AB86">
        <f>'Original Herd'!B86</f>
        <v>4</v>
      </c>
      <c r="AC86">
        <f>'Original Herd'!C86</f>
        <v>0</v>
      </c>
      <c r="AD86">
        <f>'Original Herd'!D86</f>
        <v>480</v>
      </c>
      <c r="AE86">
        <f>'Original Herd'!E86</f>
        <v>0</v>
      </c>
      <c r="AF86">
        <f>'Original Herd'!F86</f>
        <v>0</v>
      </c>
      <c r="AG86">
        <f>'Original Herd'!G86</f>
        <v>0</v>
      </c>
      <c r="AH86">
        <f>'Original Herd'!H86</f>
        <v>0</v>
      </c>
      <c r="AI86">
        <f>'Original Herd'!I86</f>
        <v>0</v>
      </c>
      <c r="AJ86">
        <f>'Original Herd'!J86</f>
        <v>0</v>
      </c>
    </row>
    <row r="87" spans="2:36" ht="12.75">
      <c r="B87" s="101">
        <f t="shared" si="13"/>
        <v>5</v>
      </c>
      <c r="C87" s="103">
        <f t="shared" si="13"/>
        <v>0</v>
      </c>
      <c r="D87" s="103">
        <f t="shared" si="13"/>
        <v>480</v>
      </c>
      <c r="E87" s="43">
        <f t="shared" si="14"/>
        <v>0</v>
      </c>
      <c r="F87" s="44">
        <f t="shared" si="18"/>
        <v>0</v>
      </c>
      <c r="G87" s="44">
        <f t="shared" si="15"/>
        <v>0</v>
      </c>
      <c r="H87" s="44">
        <f t="shared" si="19"/>
        <v>0</v>
      </c>
      <c r="I87" s="44">
        <f t="shared" si="16"/>
        <v>0</v>
      </c>
      <c r="J87" s="45">
        <f t="shared" si="17"/>
        <v>0</v>
      </c>
      <c r="K87" s="129">
        <f>H87-'Original Herd'!H87</f>
        <v>0</v>
      </c>
      <c r="L87" s="129">
        <f>I87-'Original Herd'!I87</f>
        <v>0</v>
      </c>
      <c r="M87" s="129">
        <f>J87-'Original Herd'!J87</f>
        <v>0</v>
      </c>
      <c r="AB87">
        <f>'Original Herd'!B87</f>
        <v>5</v>
      </c>
      <c r="AC87">
        <f>'Original Herd'!C87</f>
        <v>0</v>
      </c>
      <c r="AD87">
        <f>'Original Herd'!D87</f>
        <v>480</v>
      </c>
      <c r="AE87">
        <f>'Original Herd'!E87</f>
        <v>0</v>
      </c>
      <c r="AF87">
        <f>'Original Herd'!F87</f>
        <v>0</v>
      </c>
      <c r="AG87">
        <f>'Original Herd'!G87</f>
        <v>0</v>
      </c>
      <c r="AH87">
        <f>'Original Herd'!H87</f>
        <v>0</v>
      </c>
      <c r="AI87">
        <f>'Original Herd'!I87</f>
        <v>0</v>
      </c>
      <c r="AJ87">
        <f>'Original Herd'!J87</f>
        <v>0</v>
      </c>
    </row>
    <row r="88" spans="2:36" ht="12.75">
      <c r="B88" s="101">
        <f aca="true" t="shared" si="20" ref="B88:D97">B33</f>
        <v>6</v>
      </c>
      <c r="C88" s="103">
        <f t="shared" si="20"/>
        <v>0</v>
      </c>
      <c r="D88" s="103">
        <f t="shared" si="20"/>
        <v>480</v>
      </c>
      <c r="E88" s="43">
        <f t="shared" si="14"/>
        <v>0</v>
      </c>
      <c r="F88" s="44">
        <f t="shared" si="18"/>
        <v>0</v>
      </c>
      <c r="G88" s="44">
        <f t="shared" si="15"/>
        <v>0</v>
      </c>
      <c r="H88" s="44">
        <f t="shared" si="19"/>
        <v>0</v>
      </c>
      <c r="I88" s="44">
        <f t="shared" si="16"/>
        <v>0</v>
      </c>
      <c r="J88" s="45">
        <f t="shared" si="17"/>
        <v>0</v>
      </c>
      <c r="K88" s="129">
        <f>H88-'Original Herd'!H88</f>
        <v>0</v>
      </c>
      <c r="L88" s="129">
        <f>I88-'Original Herd'!I88</f>
        <v>0</v>
      </c>
      <c r="M88" s="129">
        <f>J88-'Original Herd'!J88</f>
        <v>0</v>
      </c>
      <c r="AB88">
        <f>'Original Herd'!B88</f>
        <v>6</v>
      </c>
      <c r="AC88">
        <f>'Original Herd'!C88</f>
        <v>0</v>
      </c>
      <c r="AD88">
        <f>'Original Herd'!D88</f>
        <v>480</v>
      </c>
      <c r="AE88">
        <f>'Original Herd'!E88</f>
        <v>0</v>
      </c>
      <c r="AF88">
        <f>'Original Herd'!F88</f>
        <v>0</v>
      </c>
      <c r="AG88">
        <f>'Original Herd'!G88</f>
        <v>0</v>
      </c>
      <c r="AH88">
        <f>'Original Herd'!H88</f>
        <v>0</v>
      </c>
      <c r="AI88">
        <f>'Original Herd'!I88</f>
        <v>0</v>
      </c>
      <c r="AJ88">
        <f>'Original Herd'!J88</f>
        <v>0</v>
      </c>
    </row>
    <row r="89" spans="2:36" ht="12.75">
      <c r="B89" s="101">
        <f t="shared" si="20"/>
        <v>7</v>
      </c>
      <c r="C89" s="103">
        <f t="shared" si="20"/>
        <v>0</v>
      </c>
      <c r="D89" s="103">
        <f t="shared" si="20"/>
        <v>480</v>
      </c>
      <c r="E89" s="43">
        <f t="shared" si="14"/>
        <v>0</v>
      </c>
      <c r="F89" s="44">
        <f t="shared" si="18"/>
        <v>0</v>
      </c>
      <c r="G89" s="44">
        <f t="shared" si="15"/>
        <v>0</v>
      </c>
      <c r="H89" s="44">
        <f t="shared" si="19"/>
        <v>0</v>
      </c>
      <c r="I89" s="44">
        <f t="shared" si="16"/>
        <v>0</v>
      </c>
      <c r="J89" s="45">
        <f t="shared" si="17"/>
        <v>0</v>
      </c>
      <c r="K89" s="129">
        <f>H89-'Original Herd'!H89</f>
        <v>0</v>
      </c>
      <c r="L89" s="129">
        <f>I89-'Original Herd'!I89</f>
        <v>0</v>
      </c>
      <c r="M89" s="129">
        <f>J89-'Original Herd'!J89</f>
        <v>0</v>
      </c>
      <c r="AB89">
        <f>'Original Herd'!B89</f>
        <v>7</v>
      </c>
      <c r="AC89">
        <f>'Original Herd'!C89</f>
        <v>0</v>
      </c>
      <c r="AD89">
        <f>'Original Herd'!D89</f>
        <v>480</v>
      </c>
      <c r="AE89">
        <f>'Original Herd'!E89</f>
        <v>0</v>
      </c>
      <c r="AF89">
        <f>'Original Herd'!F89</f>
        <v>0</v>
      </c>
      <c r="AG89">
        <f>'Original Herd'!G89</f>
        <v>0</v>
      </c>
      <c r="AH89">
        <f>'Original Herd'!H89</f>
        <v>0</v>
      </c>
      <c r="AI89">
        <f>'Original Herd'!I89</f>
        <v>0</v>
      </c>
      <c r="AJ89">
        <f>'Original Herd'!J89</f>
        <v>0</v>
      </c>
    </row>
    <row r="90" spans="2:36" ht="12.75">
      <c r="B90" s="101">
        <f t="shared" si="20"/>
        <v>8</v>
      </c>
      <c r="C90" s="103">
        <f t="shared" si="20"/>
        <v>0</v>
      </c>
      <c r="D90" s="103">
        <f t="shared" si="20"/>
        <v>480</v>
      </c>
      <c r="E90" s="43">
        <f t="shared" si="14"/>
        <v>0</v>
      </c>
      <c r="F90" s="44">
        <f t="shared" si="18"/>
        <v>0</v>
      </c>
      <c r="G90" s="44">
        <f t="shared" si="15"/>
        <v>0</v>
      </c>
      <c r="H90" s="44">
        <f t="shared" si="19"/>
        <v>0</v>
      </c>
      <c r="I90" s="44">
        <f t="shared" si="16"/>
        <v>0</v>
      </c>
      <c r="J90" s="45">
        <f t="shared" si="17"/>
        <v>0</v>
      </c>
      <c r="K90" s="129">
        <f>H90-'Original Herd'!H90</f>
        <v>0</v>
      </c>
      <c r="L90" s="129">
        <f>I90-'Original Herd'!I90</f>
        <v>0</v>
      </c>
      <c r="M90" s="129">
        <f>J90-'Original Herd'!J90</f>
        <v>0</v>
      </c>
      <c r="AB90">
        <f>'Original Herd'!B90</f>
        <v>8</v>
      </c>
      <c r="AC90">
        <f>'Original Herd'!C90</f>
        <v>0</v>
      </c>
      <c r="AD90">
        <f>'Original Herd'!D90</f>
        <v>480</v>
      </c>
      <c r="AE90">
        <f>'Original Herd'!E90</f>
        <v>0</v>
      </c>
      <c r="AF90">
        <f>'Original Herd'!F90</f>
        <v>0</v>
      </c>
      <c r="AG90">
        <f>'Original Herd'!G90</f>
        <v>0</v>
      </c>
      <c r="AH90">
        <f>'Original Herd'!H90</f>
        <v>0</v>
      </c>
      <c r="AI90">
        <f>'Original Herd'!I90</f>
        <v>0</v>
      </c>
      <c r="AJ90">
        <f>'Original Herd'!J90</f>
        <v>0</v>
      </c>
    </row>
    <row r="91" spans="2:36" ht="12.75">
      <c r="B91" s="101">
        <f t="shared" si="20"/>
        <v>9</v>
      </c>
      <c r="C91" s="103">
        <f t="shared" si="20"/>
        <v>0</v>
      </c>
      <c r="D91" s="103">
        <f t="shared" si="20"/>
        <v>0</v>
      </c>
      <c r="E91" s="43">
        <f t="shared" si="14"/>
        <v>0</v>
      </c>
      <c r="F91" s="44">
        <f t="shared" si="18"/>
        <v>0</v>
      </c>
      <c r="G91" s="44">
        <f t="shared" si="15"/>
        <v>0</v>
      </c>
      <c r="H91" s="44">
        <f t="shared" si="19"/>
        <v>0</v>
      </c>
      <c r="I91" s="44">
        <f t="shared" si="16"/>
        <v>0</v>
      </c>
      <c r="J91" s="45">
        <f t="shared" si="17"/>
        <v>0</v>
      </c>
      <c r="K91" s="129">
        <f>H91-'Original Herd'!H91</f>
        <v>0</v>
      </c>
      <c r="L91" s="129">
        <f>I91-'Original Herd'!I91</f>
        <v>0</v>
      </c>
      <c r="M91" s="129">
        <f>J91-'Original Herd'!J91</f>
        <v>0</v>
      </c>
      <c r="AB91">
        <f>'Original Herd'!B91</f>
        <v>9</v>
      </c>
      <c r="AC91">
        <f>'Original Herd'!C91</f>
        <v>0</v>
      </c>
      <c r="AD91">
        <f>'Original Herd'!D91</f>
        <v>0</v>
      </c>
      <c r="AE91">
        <f>'Original Herd'!E91</f>
        <v>0</v>
      </c>
      <c r="AF91">
        <f>'Original Herd'!F91</f>
        <v>0</v>
      </c>
      <c r="AG91">
        <f>'Original Herd'!G91</f>
        <v>0</v>
      </c>
      <c r="AH91">
        <f>'Original Herd'!H91</f>
        <v>0</v>
      </c>
      <c r="AI91">
        <f>'Original Herd'!I91</f>
        <v>0</v>
      </c>
      <c r="AJ91">
        <f>'Original Herd'!J91</f>
        <v>0</v>
      </c>
    </row>
    <row r="92" spans="2:36" ht="12.75">
      <c r="B92" s="101">
        <f t="shared" si="20"/>
        <v>10</v>
      </c>
      <c r="C92" s="103">
        <f t="shared" si="20"/>
        <v>0</v>
      </c>
      <c r="D92" s="103">
        <f t="shared" si="20"/>
        <v>0</v>
      </c>
      <c r="E92" s="43">
        <f t="shared" si="14"/>
        <v>0</v>
      </c>
      <c r="F92" s="44">
        <f t="shared" si="18"/>
        <v>0</v>
      </c>
      <c r="G92" s="44">
        <f t="shared" si="15"/>
        <v>0</v>
      </c>
      <c r="H92" s="44">
        <f t="shared" si="19"/>
        <v>0</v>
      </c>
      <c r="I92" s="44">
        <f t="shared" si="16"/>
        <v>0</v>
      </c>
      <c r="J92" s="45">
        <f t="shared" si="17"/>
        <v>0</v>
      </c>
      <c r="K92" s="129">
        <f>H92-'Original Herd'!H92</f>
        <v>0</v>
      </c>
      <c r="L92" s="129">
        <f>I92-'Original Herd'!I92</f>
        <v>0</v>
      </c>
      <c r="M92" s="129">
        <f>J92-'Original Herd'!J92</f>
        <v>0</v>
      </c>
      <c r="AB92">
        <f>'Original Herd'!B92</f>
        <v>10</v>
      </c>
      <c r="AC92">
        <f>'Original Herd'!C92</f>
        <v>0</v>
      </c>
      <c r="AD92">
        <f>'Original Herd'!D92</f>
        <v>0</v>
      </c>
      <c r="AE92">
        <f>'Original Herd'!E92</f>
        <v>0</v>
      </c>
      <c r="AF92">
        <f>'Original Herd'!F92</f>
        <v>0</v>
      </c>
      <c r="AG92">
        <f>'Original Herd'!G92</f>
        <v>0</v>
      </c>
      <c r="AH92">
        <f>'Original Herd'!H92</f>
        <v>0</v>
      </c>
      <c r="AI92">
        <f>'Original Herd'!I92</f>
        <v>0</v>
      </c>
      <c r="AJ92">
        <f>'Original Herd'!J92</f>
        <v>0</v>
      </c>
    </row>
    <row r="93" spans="2:36" ht="12.75">
      <c r="B93" s="101">
        <f t="shared" si="20"/>
        <v>11</v>
      </c>
      <c r="C93" s="103">
        <f t="shared" si="20"/>
        <v>0</v>
      </c>
      <c r="D93" s="103">
        <f t="shared" si="20"/>
        <v>0</v>
      </c>
      <c r="E93" s="43">
        <f t="shared" si="14"/>
        <v>0</v>
      </c>
      <c r="F93" s="44">
        <f t="shared" si="18"/>
        <v>0</v>
      </c>
      <c r="G93" s="44">
        <f t="shared" si="15"/>
        <v>0</v>
      </c>
      <c r="H93" s="44">
        <f t="shared" si="19"/>
        <v>0</v>
      </c>
      <c r="I93" s="44">
        <f t="shared" si="16"/>
        <v>0</v>
      </c>
      <c r="J93" s="45">
        <f t="shared" si="17"/>
        <v>0</v>
      </c>
      <c r="K93" s="129">
        <f>H93-'Original Herd'!H93</f>
        <v>0</v>
      </c>
      <c r="L93" s="129">
        <f>I93-'Original Herd'!I93</f>
        <v>0</v>
      </c>
      <c r="M93" s="129">
        <f>J93-'Original Herd'!J93</f>
        <v>0</v>
      </c>
      <c r="AB93">
        <f>'Original Herd'!B93</f>
        <v>11</v>
      </c>
      <c r="AC93">
        <f>'Original Herd'!C93</f>
        <v>0</v>
      </c>
      <c r="AD93">
        <f>'Original Herd'!D93</f>
        <v>0</v>
      </c>
      <c r="AE93">
        <f>'Original Herd'!E93</f>
        <v>0</v>
      </c>
      <c r="AF93">
        <f>'Original Herd'!F93</f>
        <v>0</v>
      </c>
      <c r="AG93">
        <f>'Original Herd'!G93</f>
        <v>0</v>
      </c>
      <c r="AH93">
        <f>'Original Herd'!H93</f>
        <v>0</v>
      </c>
      <c r="AI93">
        <f>'Original Herd'!I93</f>
        <v>0</v>
      </c>
      <c r="AJ93">
        <f>'Original Herd'!J93</f>
        <v>0</v>
      </c>
    </row>
    <row r="94" spans="2:36" ht="12.75">
      <c r="B94" s="101">
        <f t="shared" si="20"/>
        <v>12</v>
      </c>
      <c r="C94" s="103">
        <f t="shared" si="20"/>
        <v>0</v>
      </c>
      <c r="D94" s="103">
        <f t="shared" si="20"/>
        <v>0</v>
      </c>
      <c r="E94" s="43">
        <f t="shared" si="14"/>
        <v>0</v>
      </c>
      <c r="F94" s="44">
        <f t="shared" si="18"/>
        <v>0</v>
      </c>
      <c r="G94" s="44">
        <f t="shared" si="15"/>
        <v>0</v>
      </c>
      <c r="H94" s="44">
        <f t="shared" si="19"/>
        <v>0</v>
      </c>
      <c r="I94" s="44">
        <f t="shared" si="16"/>
        <v>0</v>
      </c>
      <c r="J94" s="45">
        <f t="shared" si="17"/>
        <v>0</v>
      </c>
      <c r="K94" s="129">
        <f>H94-'Original Herd'!H94</f>
        <v>0</v>
      </c>
      <c r="L94" s="129">
        <f>I94-'Original Herd'!I94</f>
        <v>0</v>
      </c>
      <c r="M94" s="129">
        <f>J94-'Original Herd'!J94</f>
        <v>0</v>
      </c>
      <c r="AB94">
        <f>'Original Herd'!B94</f>
        <v>12</v>
      </c>
      <c r="AC94">
        <f>'Original Herd'!C94</f>
        <v>0</v>
      </c>
      <c r="AD94">
        <f>'Original Herd'!D94</f>
        <v>0</v>
      </c>
      <c r="AE94">
        <f>'Original Herd'!E94</f>
        <v>0</v>
      </c>
      <c r="AF94">
        <f>'Original Herd'!F94</f>
        <v>0</v>
      </c>
      <c r="AG94">
        <f>'Original Herd'!G94</f>
        <v>0</v>
      </c>
      <c r="AH94">
        <f>'Original Herd'!H94</f>
        <v>0</v>
      </c>
      <c r="AI94">
        <f>'Original Herd'!I94</f>
        <v>0</v>
      </c>
      <c r="AJ94">
        <f>'Original Herd'!J94</f>
        <v>0</v>
      </c>
    </row>
    <row r="95" spans="2:36" ht="12.75">
      <c r="B95" s="101">
        <f t="shared" si="20"/>
        <v>13</v>
      </c>
      <c r="C95" s="103">
        <f t="shared" si="20"/>
        <v>0</v>
      </c>
      <c r="D95" s="103">
        <f t="shared" si="20"/>
        <v>0</v>
      </c>
      <c r="E95" s="43">
        <f t="shared" si="14"/>
        <v>0</v>
      </c>
      <c r="F95" s="44">
        <f t="shared" si="18"/>
        <v>0</v>
      </c>
      <c r="G95" s="44">
        <f t="shared" si="15"/>
        <v>0</v>
      </c>
      <c r="H95" s="44">
        <f t="shared" si="19"/>
        <v>0</v>
      </c>
      <c r="I95" s="44">
        <f t="shared" si="16"/>
        <v>0</v>
      </c>
      <c r="J95" s="45">
        <f t="shared" si="17"/>
        <v>0</v>
      </c>
      <c r="K95" s="129">
        <f>H95-'Original Herd'!H95</f>
        <v>0</v>
      </c>
      <c r="L95" s="129">
        <f>I95-'Original Herd'!I95</f>
        <v>0</v>
      </c>
      <c r="M95" s="129">
        <f>J95-'Original Herd'!J95</f>
        <v>0</v>
      </c>
      <c r="AB95">
        <f>'Original Herd'!B95</f>
        <v>13</v>
      </c>
      <c r="AC95">
        <f>'Original Herd'!C95</f>
        <v>0</v>
      </c>
      <c r="AD95">
        <f>'Original Herd'!D95</f>
        <v>0</v>
      </c>
      <c r="AE95">
        <f>'Original Herd'!E95</f>
        <v>0</v>
      </c>
      <c r="AF95">
        <f>'Original Herd'!F95</f>
        <v>0</v>
      </c>
      <c r="AG95">
        <f>'Original Herd'!G95</f>
        <v>0</v>
      </c>
      <c r="AH95">
        <f>'Original Herd'!H95</f>
        <v>0</v>
      </c>
      <c r="AI95">
        <f>'Original Herd'!I95</f>
        <v>0</v>
      </c>
      <c r="AJ95">
        <f>'Original Herd'!J95</f>
        <v>0</v>
      </c>
    </row>
    <row r="96" spans="2:36" ht="12.75">
      <c r="B96" s="101">
        <f t="shared" si="20"/>
        <v>14</v>
      </c>
      <c r="C96" s="103">
        <f t="shared" si="20"/>
        <v>0</v>
      </c>
      <c r="D96" s="103">
        <f t="shared" si="20"/>
        <v>0</v>
      </c>
      <c r="E96" s="43">
        <f t="shared" si="14"/>
        <v>0</v>
      </c>
      <c r="F96" s="44">
        <f t="shared" si="18"/>
        <v>0</v>
      </c>
      <c r="G96" s="44">
        <f t="shared" si="15"/>
        <v>0</v>
      </c>
      <c r="H96" s="44">
        <f t="shared" si="19"/>
        <v>0</v>
      </c>
      <c r="I96" s="44">
        <f t="shared" si="16"/>
        <v>0</v>
      </c>
      <c r="J96" s="45">
        <f t="shared" si="17"/>
        <v>0</v>
      </c>
      <c r="K96" s="129">
        <f>H96-'Original Herd'!H96</f>
        <v>0</v>
      </c>
      <c r="L96" s="129">
        <f>I96-'Original Herd'!I96</f>
        <v>0</v>
      </c>
      <c r="M96" s="129">
        <f>J96-'Original Herd'!J96</f>
        <v>0</v>
      </c>
      <c r="AB96">
        <f>'Original Herd'!B96</f>
        <v>14</v>
      </c>
      <c r="AC96">
        <f>'Original Herd'!C96</f>
        <v>0</v>
      </c>
      <c r="AD96">
        <f>'Original Herd'!D96</f>
        <v>0</v>
      </c>
      <c r="AE96">
        <f>'Original Herd'!E96</f>
        <v>0</v>
      </c>
      <c r="AF96">
        <f>'Original Herd'!F96</f>
        <v>0</v>
      </c>
      <c r="AG96">
        <f>'Original Herd'!G96</f>
        <v>0</v>
      </c>
      <c r="AH96">
        <f>'Original Herd'!H96</f>
        <v>0</v>
      </c>
      <c r="AI96">
        <f>'Original Herd'!I96</f>
        <v>0</v>
      </c>
      <c r="AJ96">
        <f>'Original Herd'!J96</f>
        <v>0</v>
      </c>
    </row>
    <row r="97" spans="2:36" ht="12.75">
      <c r="B97" s="102">
        <f t="shared" si="20"/>
        <v>15</v>
      </c>
      <c r="C97" s="107">
        <f t="shared" si="20"/>
        <v>0</v>
      </c>
      <c r="D97" s="107">
        <f t="shared" si="20"/>
        <v>0</v>
      </c>
      <c r="E97" s="46">
        <f t="shared" si="14"/>
        <v>0</v>
      </c>
      <c r="F97" s="47">
        <f t="shared" si="18"/>
        <v>0</v>
      </c>
      <c r="G97" s="47">
        <f t="shared" si="15"/>
        <v>0</v>
      </c>
      <c r="H97" s="47">
        <f t="shared" si="19"/>
        <v>0</v>
      </c>
      <c r="I97" s="47">
        <f t="shared" si="16"/>
        <v>0</v>
      </c>
      <c r="J97" s="48">
        <f t="shared" si="17"/>
        <v>0</v>
      </c>
      <c r="K97" s="129">
        <f>H97-'Original Herd'!H97</f>
        <v>0</v>
      </c>
      <c r="L97" s="129">
        <f>I97-'Original Herd'!I97</f>
        <v>0</v>
      </c>
      <c r="M97" s="129">
        <f>J97-'Original Herd'!J97</f>
        <v>0</v>
      </c>
      <c r="AB97">
        <f>'Original Herd'!B97</f>
        <v>15</v>
      </c>
      <c r="AC97">
        <f>'Original Herd'!C97</f>
        <v>0</v>
      </c>
      <c r="AD97">
        <f>'Original Herd'!D97</f>
        <v>0</v>
      </c>
      <c r="AE97">
        <f>'Original Herd'!E97</f>
        <v>0</v>
      </c>
      <c r="AF97">
        <f>'Original Herd'!F97</f>
        <v>0</v>
      </c>
      <c r="AG97">
        <f>'Original Herd'!G97</f>
        <v>0</v>
      </c>
      <c r="AH97">
        <f>'Original Herd'!H97</f>
        <v>0</v>
      </c>
      <c r="AI97">
        <f>'Original Herd'!I97</f>
        <v>0</v>
      </c>
      <c r="AJ97">
        <f>'Original Herd'!J97</f>
        <v>0</v>
      </c>
    </row>
    <row r="98" spans="2:30" ht="12.75">
      <c r="B98" s="15"/>
      <c r="C98" s="345" t="s">
        <v>20</v>
      </c>
      <c r="D98" s="346" t="s">
        <v>68</v>
      </c>
      <c r="E98" s="2"/>
      <c r="F98" s="2"/>
      <c r="G98" s="2"/>
      <c r="H98" s="2"/>
      <c r="I98" s="2"/>
      <c r="J98" s="2"/>
      <c r="AC98" t="str">
        <f>'Original Herd'!C98</f>
        <v>Groups</v>
      </c>
      <c r="AD98" t="str">
        <f>'Original Herd'!D98</f>
        <v>Cows</v>
      </c>
    </row>
    <row r="99" spans="2:30" ht="12.75">
      <c r="B99" s="13"/>
      <c r="C99" s="136">
        <f>SUM(C83:C97)</f>
        <v>9</v>
      </c>
      <c r="D99" s="137">
        <f>SUMPRODUCT(C83:C97,D83:D97)</f>
        <v>4020</v>
      </c>
      <c r="E99" s="2"/>
      <c r="F99" s="2"/>
      <c r="G99" s="2"/>
      <c r="H99" s="2"/>
      <c r="I99" s="2"/>
      <c r="J99" s="13"/>
      <c r="AC99">
        <f>'Original Herd'!C99</f>
        <v>8</v>
      </c>
      <c r="AD99">
        <f>'Original Herd'!D99</f>
        <v>3840</v>
      </c>
    </row>
    <row r="100" spans="2:10" ht="12.75">
      <c r="B100" s="130" t="s">
        <v>89</v>
      </c>
      <c r="C100" s="132">
        <f>'Original Herd'!C99</f>
        <v>8</v>
      </c>
      <c r="D100" s="132">
        <f>'Original Herd'!D99</f>
        <v>3840</v>
      </c>
      <c r="E100" s="2"/>
      <c r="F100" s="2"/>
      <c r="G100" s="2"/>
      <c r="H100" s="2"/>
      <c r="I100" s="2"/>
      <c r="J100" s="13"/>
    </row>
    <row r="101" spans="2:16" ht="12.75">
      <c r="B101" s="13"/>
      <c r="C101" s="13"/>
      <c r="D101" s="18"/>
      <c r="E101" s="2"/>
      <c r="F101" s="2"/>
      <c r="G101" s="2"/>
      <c r="H101" s="2"/>
      <c r="I101" s="2"/>
      <c r="J101" s="13"/>
      <c r="K101" s="17"/>
      <c r="L101" s="17"/>
      <c r="M101" s="17"/>
      <c r="N101" s="17"/>
      <c r="O101" s="17"/>
      <c r="P101" s="17"/>
    </row>
    <row r="102" spans="2:33" ht="12.75">
      <c r="B102" s="235"/>
      <c r="C102" s="181"/>
      <c r="D102" s="236"/>
      <c r="E102" s="182"/>
      <c r="F102" s="182"/>
      <c r="G102" s="237" t="s">
        <v>84</v>
      </c>
      <c r="H102" s="182"/>
      <c r="I102" s="182"/>
      <c r="J102" s="222"/>
      <c r="K102" s="144" t="s">
        <v>92</v>
      </c>
      <c r="L102" s="144" t="s">
        <v>92</v>
      </c>
      <c r="M102" s="144" t="s">
        <v>92</v>
      </c>
      <c r="N102" s="17"/>
      <c r="O102" s="17"/>
      <c r="P102" s="17"/>
      <c r="AG102" t="str">
        <f>'Original Herd'!G102</f>
        <v>Herd Annually (per Group)</v>
      </c>
    </row>
    <row r="103" spans="2:16" ht="12.75">
      <c r="B103" s="230"/>
      <c r="C103" s="185"/>
      <c r="D103" s="238"/>
      <c r="E103" s="224"/>
      <c r="F103" s="224"/>
      <c r="G103" s="224"/>
      <c r="H103" s="224"/>
      <c r="I103" s="224"/>
      <c r="J103" s="228"/>
      <c r="K103" s="127" t="s">
        <v>93</v>
      </c>
      <c r="L103" s="127" t="s">
        <v>93</v>
      </c>
      <c r="M103" s="127" t="s">
        <v>93</v>
      </c>
      <c r="N103" s="17"/>
      <c r="O103" s="17"/>
      <c r="P103" s="17"/>
    </row>
    <row r="104" spans="2:36" ht="12.75">
      <c r="B104" s="230"/>
      <c r="C104" s="185" t="s">
        <v>20</v>
      </c>
      <c r="D104" s="186" t="s">
        <v>0</v>
      </c>
      <c r="E104" s="185" t="s">
        <v>32</v>
      </c>
      <c r="F104" s="185" t="s">
        <v>17</v>
      </c>
      <c r="G104" s="185" t="s">
        <v>46</v>
      </c>
      <c r="H104" s="185" t="s">
        <v>36</v>
      </c>
      <c r="I104" s="185" t="s">
        <v>26</v>
      </c>
      <c r="J104" s="186" t="s">
        <v>50</v>
      </c>
      <c r="K104" s="130" t="s">
        <v>36</v>
      </c>
      <c r="L104" s="130" t="s">
        <v>26</v>
      </c>
      <c r="M104" s="130" t="s">
        <v>50</v>
      </c>
      <c r="N104" s="17"/>
      <c r="O104" s="17"/>
      <c r="P104" s="17"/>
      <c r="AC104" t="str">
        <f>'Original Herd'!C104</f>
        <v>Groups</v>
      </c>
      <c r="AD104" t="str">
        <f>'Original Herd'!D104</f>
        <v>Group</v>
      </c>
      <c r="AE104" t="str">
        <f>'Original Herd'!E104</f>
        <v>Feed</v>
      </c>
      <c r="AF104" t="str">
        <f>'Original Herd'!F104</f>
        <v>Milking</v>
      </c>
      <c r="AG104" t="str">
        <f>'Original Herd'!G104</f>
        <v>Labor</v>
      </c>
      <c r="AH104" t="str">
        <f>'Original Herd'!H104</f>
        <v>Total</v>
      </c>
      <c r="AI104" t="str">
        <f>'Original Herd'!I104</f>
        <v>Milk</v>
      </c>
      <c r="AJ104" t="str">
        <f>'Original Herd'!J104</f>
        <v>Net Cash</v>
      </c>
    </row>
    <row r="105" spans="2:36" ht="12.75">
      <c r="B105" s="230" t="s">
        <v>0</v>
      </c>
      <c r="C105" s="185" t="s">
        <v>21</v>
      </c>
      <c r="D105" s="186" t="s">
        <v>22</v>
      </c>
      <c r="E105" s="185" t="s">
        <v>44</v>
      </c>
      <c r="F105" s="185" t="s">
        <v>18</v>
      </c>
      <c r="G105" s="185" t="s">
        <v>47</v>
      </c>
      <c r="H105" s="185" t="s">
        <v>47</v>
      </c>
      <c r="I105" s="185" t="s">
        <v>49</v>
      </c>
      <c r="J105" s="186" t="s">
        <v>49</v>
      </c>
      <c r="K105" s="130" t="s">
        <v>47</v>
      </c>
      <c r="L105" s="130" t="s">
        <v>49</v>
      </c>
      <c r="M105" s="130" t="s">
        <v>49</v>
      </c>
      <c r="N105" s="17"/>
      <c r="O105" s="17"/>
      <c r="P105" s="17"/>
      <c r="AB105" t="str">
        <f>'Original Herd'!B105</f>
        <v>Group</v>
      </c>
      <c r="AC105" t="str">
        <f>'Original Herd'!C105</f>
        <v>Identical</v>
      </c>
      <c r="AD105" t="str">
        <f>'Original Herd'!D105</f>
        <v>Size</v>
      </c>
      <c r="AE105" t="str">
        <f>'Original Herd'!E105</f>
        <v>Cost</v>
      </c>
      <c r="AF105" t="str">
        <f>'Original Herd'!F105</f>
        <v>Supplies</v>
      </c>
      <c r="AG105" t="str">
        <f>'Original Herd'!G105</f>
        <v>Expense</v>
      </c>
      <c r="AH105" t="str">
        <f>'Original Herd'!H105</f>
        <v>Expense</v>
      </c>
      <c r="AI105" t="str">
        <f>'Original Herd'!I105</f>
        <v>Income</v>
      </c>
      <c r="AJ105" t="str">
        <f>'Original Herd'!J105</f>
        <v>Income</v>
      </c>
    </row>
    <row r="106" spans="2:36" ht="12.75">
      <c r="B106" s="232" t="s">
        <v>9</v>
      </c>
      <c r="C106" s="188" t="s">
        <v>11</v>
      </c>
      <c r="D106" s="189" t="s">
        <v>11</v>
      </c>
      <c r="E106" s="185" t="s">
        <v>51</v>
      </c>
      <c r="F106" s="185" t="s">
        <v>51</v>
      </c>
      <c r="G106" s="185" t="s">
        <v>51</v>
      </c>
      <c r="H106" s="185" t="s">
        <v>51</v>
      </c>
      <c r="I106" s="185" t="s">
        <v>51</v>
      </c>
      <c r="J106" s="186" t="s">
        <v>51</v>
      </c>
      <c r="K106" s="145" t="s">
        <v>51</v>
      </c>
      <c r="L106" s="146" t="s">
        <v>51</v>
      </c>
      <c r="M106" s="146" t="s">
        <v>51</v>
      </c>
      <c r="N106" s="17"/>
      <c r="O106" s="17"/>
      <c r="P106" s="17"/>
      <c r="AB106" t="str">
        <f>'Original Herd'!B106</f>
        <v>ID</v>
      </c>
      <c r="AC106" t="str">
        <f>'Original Herd'!C106</f>
        <v>No.</v>
      </c>
      <c r="AD106" t="str">
        <f>'Original Herd'!D106</f>
        <v>No.</v>
      </c>
      <c r="AE106" t="str">
        <f>'Original Herd'!E106</f>
        <v>$/yr</v>
      </c>
      <c r="AF106" t="str">
        <f>'Original Herd'!F106</f>
        <v>$/yr</v>
      </c>
      <c r="AG106" t="str">
        <f>'Original Herd'!G106</f>
        <v>$/yr</v>
      </c>
      <c r="AH106" t="str">
        <f>'Original Herd'!H106</f>
        <v>$/yr</v>
      </c>
      <c r="AI106" t="str">
        <f>'Original Herd'!I106</f>
        <v>$/yr</v>
      </c>
      <c r="AJ106" t="str">
        <f>'Original Herd'!J106</f>
        <v>$/yr</v>
      </c>
    </row>
    <row r="107" spans="2:36" ht="12.75">
      <c r="B107" s="100">
        <f aca="true" t="shared" si="21" ref="B107:D111">B83</f>
        <v>1</v>
      </c>
      <c r="C107" s="104">
        <f t="shared" si="21"/>
        <v>7</v>
      </c>
      <c r="D107" s="347">
        <f t="shared" si="21"/>
        <v>480</v>
      </c>
      <c r="E107" s="113">
        <f aca="true" t="shared" si="22" ref="E107:H119">$D83*E83*365</f>
        <v>641072.7272727273</v>
      </c>
      <c r="F107" s="114">
        <f t="shared" si="22"/>
        <v>17520</v>
      </c>
      <c r="G107" s="114">
        <f t="shared" si="22"/>
        <v>33371.428571428565</v>
      </c>
      <c r="H107" s="114">
        <f t="shared" si="22"/>
        <v>691964.1558441558</v>
      </c>
      <c r="I107" s="114">
        <f aca="true" t="shared" si="23" ref="I107:I121">$D83*I83*365</f>
        <v>1672363.6363636365</v>
      </c>
      <c r="J107" s="115">
        <f aca="true" t="shared" si="24" ref="J107:J121">I107-H107</f>
        <v>980399.4805194807</v>
      </c>
      <c r="K107" s="244">
        <f>H107-'Original Herd'!H107</f>
        <v>-41637.17748917744</v>
      </c>
      <c r="L107" s="244">
        <f>I107-'Original Herd'!I107</f>
        <v>-167236.36363636353</v>
      </c>
      <c r="M107" s="244">
        <f>J107-'Original Herd'!J107</f>
        <v>-125599.18614718609</v>
      </c>
      <c r="N107" s="17"/>
      <c r="O107" s="17"/>
      <c r="P107" s="17"/>
      <c r="AB107">
        <f>'Original Herd'!B107</f>
        <v>1</v>
      </c>
      <c r="AC107">
        <f>'Original Herd'!C107</f>
        <v>8</v>
      </c>
      <c r="AD107">
        <f>'Original Herd'!D107</f>
        <v>480</v>
      </c>
      <c r="AE107">
        <f>'Original Herd'!E107</f>
        <v>668388.0000000001</v>
      </c>
      <c r="AF107">
        <f>'Original Herd'!F107</f>
        <v>26280.000000000004</v>
      </c>
      <c r="AG107">
        <f>'Original Herd'!G107</f>
        <v>38933.33333333333</v>
      </c>
      <c r="AH107">
        <f>'Original Herd'!H107</f>
        <v>733601.3333333333</v>
      </c>
      <c r="AI107">
        <f>'Original Herd'!I107</f>
        <v>1839600</v>
      </c>
      <c r="AJ107">
        <f>'Original Herd'!J107</f>
        <v>1105998.6666666667</v>
      </c>
    </row>
    <row r="108" spans="2:36" ht="12.75">
      <c r="B108" s="101">
        <f t="shared" si="21"/>
        <v>2</v>
      </c>
      <c r="C108" s="103">
        <f t="shared" si="21"/>
        <v>1</v>
      </c>
      <c r="D108" s="348">
        <f t="shared" si="21"/>
        <v>480</v>
      </c>
      <c r="E108" s="116">
        <f t="shared" si="22"/>
        <v>668388.0000000001</v>
      </c>
      <c r="F108" s="117">
        <f t="shared" si="22"/>
        <v>26280.000000000004</v>
      </c>
      <c r="G108" s="117">
        <f t="shared" si="22"/>
        <v>38933.33333333333</v>
      </c>
      <c r="H108" s="117">
        <f t="shared" si="22"/>
        <v>733601.3333333333</v>
      </c>
      <c r="I108" s="117">
        <f t="shared" si="23"/>
        <v>1839600</v>
      </c>
      <c r="J108" s="118">
        <f t="shared" si="24"/>
        <v>1105998.6666666667</v>
      </c>
      <c r="K108" s="143">
        <f>H108-'Original Herd'!H108</f>
        <v>733601.3333333333</v>
      </c>
      <c r="L108" s="143">
        <f>I108-'Original Herd'!I108</f>
        <v>1839600</v>
      </c>
      <c r="M108" s="143">
        <f>J108-'Original Herd'!J108</f>
        <v>1105998.6666666667</v>
      </c>
      <c r="N108" s="17"/>
      <c r="O108" s="17"/>
      <c r="P108" s="17"/>
      <c r="AB108">
        <f>'Original Herd'!B108</f>
        <v>2</v>
      </c>
      <c r="AC108">
        <f>'Original Herd'!C108</f>
        <v>0</v>
      </c>
      <c r="AD108">
        <f>'Original Herd'!D108</f>
        <v>480</v>
      </c>
      <c r="AE108">
        <f>'Original Herd'!E108</f>
        <v>0</v>
      </c>
      <c r="AF108">
        <f>'Original Herd'!F108</f>
        <v>0</v>
      </c>
      <c r="AG108">
        <f>'Original Herd'!G108</f>
        <v>0</v>
      </c>
      <c r="AH108">
        <f>'Original Herd'!H108</f>
        <v>0</v>
      </c>
      <c r="AI108">
        <f>'Original Herd'!I108</f>
        <v>0</v>
      </c>
      <c r="AJ108">
        <f>'Original Herd'!J108</f>
        <v>0</v>
      </c>
    </row>
    <row r="109" spans="2:36" ht="12.75">
      <c r="B109" s="101">
        <f t="shared" si="21"/>
        <v>3</v>
      </c>
      <c r="C109" s="103">
        <f t="shared" si="21"/>
        <v>1</v>
      </c>
      <c r="D109" s="348">
        <f t="shared" si="21"/>
        <v>180</v>
      </c>
      <c r="E109" s="116">
        <f t="shared" si="22"/>
        <v>250645.50000000003</v>
      </c>
      <c r="F109" s="117">
        <f t="shared" si="22"/>
        <v>9855.000000000002</v>
      </c>
      <c r="G109" s="117">
        <f t="shared" si="22"/>
        <v>14600</v>
      </c>
      <c r="H109" s="117">
        <f t="shared" si="22"/>
        <v>275100.5</v>
      </c>
      <c r="I109" s="117">
        <f t="shared" si="23"/>
        <v>689850</v>
      </c>
      <c r="J109" s="118">
        <f t="shared" si="24"/>
        <v>414749.5</v>
      </c>
      <c r="K109" s="143">
        <f>H109-'Original Herd'!H109</f>
        <v>275100.5</v>
      </c>
      <c r="L109" s="143">
        <f>I109-'Original Herd'!I109</f>
        <v>689850</v>
      </c>
      <c r="M109" s="143">
        <f>J109-'Original Herd'!J109</f>
        <v>414749.5</v>
      </c>
      <c r="N109" s="17"/>
      <c r="O109" s="17"/>
      <c r="P109" s="17"/>
      <c r="AB109">
        <f>'Original Herd'!B109</f>
        <v>3</v>
      </c>
      <c r="AC109">
        <f>'Original Herd'!C109</f>
        <v>0</v>
      </c>
      <c r="AD109">
        <f>'Original Herd'!D109</f>
        <v>480</v>
      </c>
      <c r="AE109">
        <f>'Original Herd'!E109</f>
        <v>0</v>
      </c>
      <c r="AF109">
        <f>'Original Herd'!F109</f>
        <v>0</v>
      </c>
      <c r="AG109">
        <f>'Original Herd'!G109</f>
        <v>0</v>
      </c>
      <c r="AH109">
        <f>'Original Herd'!H109</f>
        <v>0</v>
      </c>
      <c r="AI109">
        <f>'Original Herd'!I109</f>
        <v>0</v>
      </c>
      <c r="AJ109">
        <f>'Original Herd'!J109</f>
        <v>0</v>
      </c>
    </row>
    <row r="110" spans="2:36" ht="12.75">
      <c r="B110" s="101">
        <f t="shared" si="21"/>
        <v>4</v>
      </c>
      <c r="C110" s="103">
        <f t="shared" si="21"/>
        <v>0</v>
      </c>
      <c r="D110" s="348">
        <f t="shared" si="21"/>
        <v>480</v>
      </c>
      <c r="E110" s="116">
        <f t="shared" si="22"/>
        <v>0</v>
      </c>
      <c r="F110" s="117">
        <f t="shared" si="22"/>
        <v>0</v>
      </c>
      <c r="G110" s="117">
        <f t="shared" si="22"/>
        <v>0</v>
      </c>
      <c r="H110" s="117">
        <f t="shared" si="22"/>
        <v>0</v>
      </c>
      <c r="I110" s="117">
        <f t="shared" si="23"/>
        <v>0</v>
      </c>
      <c r="J110" s="118">
        <f t="shared" si="24"/>
        <v>0</v>
      </c>
      <c r="K110" s="143">
        <f>H110-'Original Herd'!H110</f>
        <v>0</v>
      </c>
      <c r="L110" s="143">
        <f>I110-'Original Herd'!I110</f>
        <v>0</v>
      </c>
      <c r="M110" s="143">
        <f>J110-'Original Herd'!J110</f>
        <v>0</v>
      </c>
      <c r="N110" s="17"/>
      <c r="O110" s="17"/>
      <c r="P110" s="17"/>
      <c r="AB110">
        <f>'Original Herd'!B110</f>
        <v>4</v>
      </c>
      <c r="AC110">
        <f>'Original Herd'!C110</f>
        <v>0</v>
      </c>
      <c r="AD110">
        <f>'Original Herd'!D110</f>
        <v>480</v>
      </c>
      <c r="AE110">
        <f>'Original Herd'!E110</f>
        <v>0</v>
      </c>
      <c r="AF110">
        <f>'Original Herd'!F110</f>
        <v>0</v>
      </c>
      <c r="AG110">
        <f>'Original Herd'!G110</f>
        <v>0</v>
      </c>
      <c r="AH110">
        <f>'Original Herd'!H110</f>
        <v>0</v>
      </c>
      <c r="AI110">
        <f>'Original Herd'!I110</f>
        <v>0</v>
      </c>
      <c r="AJ110">
        <f>'Original Herd'!J110</f>
        <v>0</v>
      </c>
    </row>
    <row r="111" spans="2:36" ht="12.75">
      <c r="B111" s="101">
        <f t="shared" si="21"/>
        <v>5</v>
      </c>
      <c r="C111" s="103">
        <f t="shared" si="21"/>
        <v>0</v>
      </c>
      <c r="D111" s="348">
        <f t="shared" si="21"/>
        <v>480</v>
      </c>
      <c r="E111" s="116">
        <f t="shared" si="22"/>
        <v>0</v>
      </c>
      <c r="F111" s="117">
        <f t="shared" si="22"/>
        <v>0</v>
      </c>
      <c r="G111" s="117">
        <f t="shared" si="22"/>
        <v>0</v>
      </c>
      <c r="H111" s="117">
        <f t="shared" si="22"/>
        <v>0</v>
      </c>
      <c r="I111" s="117">
        <f t="shared" si="23"/>
        <v>0</v>
      </c>
      <c r="J111" s="118">
        <f t="shared" si="24"/>
        <v>0</v>
      </c>
      <c r="K111" s="143">
        <f>H111-'Original Herd'!H111</f>
        <v>0</v>
      </c>
      <c r="L111" s="143">
        <f>I111-'Original Herd'!I111</f>
        <v>0</v>
      </c>
      <c r="M111" s="143">
        <f>J111-'Original Herd'!J111</f>
        <v>0</v>
      </c>
      <c r="N111" s="17"/>
      <c r="O111" s="17"/>
      <c r="P111" s="17"/>
      <c r="AB111">
        <f>'Original Herd'!B111</f>
        <v>5</v>
      </c>
      <c r="AC111">
        <f>'Original Herd'!C111</f>
        <v>0</v>
      </c>
      <c r="AD111">
        <f>'Original Herd'!D111</f>
        <v>480</v>
      </c>
      <c r="AE111">
        <f>'Original Herd'!E111</f>
        <v>0</v>
      </c>
      <c r="AF111">
        <f>'Original Herd'!F111</f>
        <v>0</v>
      </c>
      <c r="AG111">
        <f>'Original Herd'!G111</f>
        <v>0</v>
      </c>
      <c r="AH111">
        <f>'Original Herd'!H111</f>
        <v>0</v>
      </c>
      <c r="AI111">
        <f>'Original Herd'!I111</f>
        <v>0</v>
      </c>
      <c r="AJ111">
        <f>'Original Herd'!J111</f>
        <v>0</v>
      </c>
    </row>
    <row r="112" spans="2:36" ht="12.75">
      <c r="B112" s="101">
        <f aca="true" t="shared" si="25" ref="B112:D121">B88</f>
        <v>6</v>
      </c>
      <c r="C112" s="103">
        <f t="shared" si="25"/>
        <v>0</v>
      </c>
      <c r="D112" s="348">
        <f t="shared" si="25"/>
        <v>480</v>
      </c>
      <c r="E112" s="116">
        <f t="shared" si="22"/>
        <v>0</v>
      </c>
      <c r="F112" s="117">
        <f t="shared" si="22"/>
        <v>0</v>
      </c>
      <c r="G112" s="117">
        <f t="shared" si="22"/>
        <v>0</v>
      </c>
      <c r="H112" s="117">
        <f t="shared" si="22"/>
        <v>0</v>
      </c>
      <c r="I112" s="117">
        <f t="shared" si="23"/>
        <v>0</v>
      </c>
      <c r="J112" s="118">
        <f t="shared" si="24"/>
        <v>0</v>
      </c>
      <c r="K112" s="143">
        <f>H112-'Original Herd'!H112</f>
        <v>0</v>
      </c>
      <c r="L112" s="143">
        <f>I112-'Original Herd'!I112</f>
        <v>0</v>
      </c>
      <c r="M112" s="143">
        <f>J112-'Original Herd'!J112</f>
        <v>0</v>
      </c>
      <c r="N112" s="17"/>
      <c r="O112" s="17"/>
      <c r="P112" s="17"/>
      <c r="AB112">
        <f>'Original Herd'!B112</f>
        <v>6</v>
      </c>
      <c r="AC112">
        <f>'Original Herd'!C112</f>
        <v>0</v>
      </c>
      <c r="AD112">
        <f>'Original Herd'!D112</f>
        <v>480</v>
      </c>
      <c r="AE112">
        <f>'Original Herd'!E112</f>
        <v>0</v>
      </c>
      <c r="AF112">
        <f>'Original Herd'!F112</f>
        <v>0</v>
      </c>
      <c r="AG112">
        <f>'Original Herd'!G112</f>
        <v>0</v>
      </c>
      <c r="AH112">
        <f>'Original Herd'!H112</f>
        <v>0</v>
      </c>
      <c r="AI112">
        <f>'Original Herd'!I112</f>
        <v>0</v>
      </c>
      <c r="AJ112">
        <f>'Original Herd'!J112</f>
        <v>0</v>
      </c>
    </row>
    <row r="113" spans="2:36" ht="12.75">
      <c r="B113" s="101">
        <f t="shared" si="25"/>
        <v>7</v>
      </c>
      <c r="C113" s="103">
        <f t="shared" si="25"/>
        <v>0</v>
      </c>
      <c r="D113" s="348">
        <f t="shared" si="25"/>
        <v>480</v>
      </c>
      <c r="E113" s="116">
        <f t="shared" si="22"/>
        <v>0</v>
      </c>
      <c r="F113" s="117">
        <f t="shared" si="22"/>
        <v>0</v>
      </c>
      <c r="G113" s="117">
        <f t="shared" si="22"/>
        <v>0</v>
      </c>
      <c r="H113" s="117">
        <f t="shared" si="22"/>
        <v>0</v>
      </c>
      <c r="I113" s="117">
        <f t="shared" si="23"/>
        <v>0</v>
      </c>
      <c r="J113" s="118">
        <f t="shared" si="24"/>
        <v>0</v>
      </c>
      <c r="K113" s="143">
        <f>H113-'Original Herd'!H113</f>
        <v>0</v>
      </c>
      <c r="L113" s="143">
        <f>I113-'Original Herd'!I113</f>
        <v>0</v>
      </c>
      <c r="M113" s="143">
        <f>J113-'Original Herd'!J113</f>
        <v>0</v>
      </c>
      <c r="N113" s="17"/>
      <c r="O113" s="17"/>
      <c r="P113" s="17"/>
      <c r="AB113">
        <f>'Original Herd'!B113</f>
        <v>7</v>
      </c>
      <c r="AC113">
        <f>'Original Herd'!C113</f>
        <v>0</v>
      </c>
      <c r="AD113">
        <f>'Original Herd'!D113</f>
        <v>480</v>
      </c>
      <c r="AE113">
        <f>'Original Herd'!E113</f>
        <v>0</v>
      </c>
      <c r="AF113">
        <f>'Original Herd'!F113</f>
        <v>0</v>
      </c>
      <c r="AG113">
        <f>'Original Herd'!G113</f>
        <v>0</v>
      </c>
      <c r="AH113">
        <f>'Original Herd'!H113</f>
        <v>0</v>
      </c>
      <c r="AI113">
        <f>'Original Herd'!I113</f>
        <v>0</v>
      </c>
      <c r="AJ113">
        <f>'Original Herd'!J113</f>
        <v>0</v>
      </c>
    </row>
    <row r="114" spans="2:36" ht="12.75">
      <c r="B114" s="101">
        <f t="shared" si="25"/>
        <v>8</v>
      </c>
      <c r="C114" s="103">
        <f t="shared" si="25"/>
        <v>0</v>
      </c>
      <c r="D114" s="348">
        <f t="shared" si="25"/>
        <v>480</v>
      </c>
      <c r="E114" s="116">
        <f t="shared" si="22"/>
        <v>0</v>
      </c>
      <c r="F114" s="117">
        <f t="shared" si="22"/>
        <v>0</v>
      </c>
      <c r="G114" s="117">
        <f t="shared" si="22"/>
        <v>0</v>
      </c>
      <c r="H114" s="117">
        <f t="shared" si="22"/>
        <v>0</v>
      </c>
      <c r="I114" s="117">
        <f t="shared" si="23"/>
        <v>0</v>
      </c>
      <c r="J114" s="118">
        <f t="shared" si="24"/>
        <v>0</v>
      </c>
      <c r="K114" s="143">
        <f>H114-'Original Herd'!H114</f>
        <v>0</v>
      </c>
      <c r="L114" s="143">
        <f>I114-'Original Herd'!I114</f>
        <v>0</v>
      </c>
      <c r="M114" s="143">
        <f>J114-'Original Herd'!J114</f>
        <v>0</v>
      </c>
      <c r="N114" s="17"/>
      <c r="O114" s="17"/>
      <c r="P114" s="17"/>
      <c r="AB114">
        <f>'Original Herd'!B114</f>
        <v>8</v>
      </c>
      <c r="AC114">
        <f>'Original Herd'!C114</f>
        <v>0</v>
      </c>
      <c r="AD114">
        <f>'Original Herd'!D114</f>
        <v>480</v>
      </c>
      <c r="AE114">
        <f>'Original Herd'!E114</f>
        <v>0</v>
      </c>
      <c r="AF114">
        <f>'Original Herd'!F114</f>
        <v>0</v>
      </c>
      <c r="AG114">
        <f>'Original Herd'!G114</f>
        <v>0</v>
      </c>
      <c r="AH114">
        <f>'Original Herd'!H114</f>
        <v>0</v>
      </c>
      <c r="AI114">
        <f>'Original Herd'!I114</f>
        <v>0</v>
      </c>
      <c r="AJ114">
        <f>'Original Herd'!J114</f>
        <v>0</v>
      </c>
    </row>
    <row r="115" spans="2:36" ht="12.75">
      <c r="B115" s="101">
        <f t="shared" si="25"/>
        <v>9</v>
      </c>
      <c r="C115" s="103">
        <f t="shared" si="25"/>
        <v>0</v>
      </c>
      <c r="D115" s="348">
        <f t="shared" si="25"/>
        <v>0</v>
      </c>
      <c r="E115" s="116">
        <f t="shared" si="22"/>
        <v>0</v>
      </c>
      <c r="F115" s="117">
        <f t="shared" si="22"/>
        <v>0</v>
      </c>
      <c r="G115" s="117">
        <f t="shared" si="22"/>
        <v>0</v>
      </c>
      <c r="H115" s="117">
        <f t="shared" si="22"/>
        <v>0</v>
      </c>
      <c r="I115" s="117">
        <f t="shared" si="23"/>
        <v>0</v>
      </c>
      <c r="J115" s="118">
        <f t="shared" si="24"/>
        <v>0</v>
      </c>
      <c r="K115" s="143">
        <f>H115-'Original Herd'!H115</f>
        <v>0</v>
      </c>
      <c r="L115" s="143">
        <f>I115-'Original Herd'!I115</f>
        <v>0</v>
      </c>
      <c r="M115" s="143">
        <f>J115-'Original Herd'!J115</f>
        <v>0</v>
      </c>
      <c r="N115" s="17"/>
      <c r="O115" s="17"/>
      <c r="P115" s="17"/>
      <c r="AB115">
        <f>'Original Herd'!B115</f>
        <v>9</v>
      </c>
      <c r="AC115">
        <f>'Original Herd'!C115</f>
        <v>0</v>
      </c>
      <c r="AD115">
        <f>'Original Herd'!D115</f>
        <v>0</v>
      </c>
      <c r="AE115">
        <f>'Original Herd'!E115</f>
        <v>0</v>
      </c>
      <c r="AF115">
        <f>'Original Herd'!F115</f>
        <v>0</v>
      </c>
      <c r="AG115">
        <f>'Original Herd'!G115</f>
        <v>0</v>
      </c>
      <c r="AH115">
        <f>'Original Herd'!H115</f>
        <v>0</v>
      </c>
      <c r="AI115">
        <f>'Original Herd'!I115</f>
        <v>0</v>
      </c>
      <c r="AJ115">
        <f>'Original Herd'!J115</f>
        <v>0</v>
      </c>
    </row>
    <row r="116" spans="2:36" ht="12.75">
      <c r="B116" s="101">
        <f t="shared" si="25"/>
        <v>10</v>
      </c>
      <c r="C116" s="103">
        <f t="shared" si="25"/>
        <v>0</v>
      </c>
      <c r="D116" s="348">
        <f t="shared" si="25"/>
        <v>0</v>
      </c>
      <c r="E116" s="116">
        <f t="shared" si="22"/>
        <v>0</v>
      </c>
      <c r="F116" s="117">
        <f t="shared" si="22"/>
        <v>0</v>
      </c>
      <c r="G116" s="117">
        <f t="shared" si="22"/>
        <v>0</v>
      </c>
      <c r="H116" s="117">
        <f t="shared" si="22"/>
        <v>0</v>
      </c>
      <c r="I116" s="117">
        <f t="shared" si="23"/>
        <v>0</v>
      </c>
      <c r="J116" s="118">
        <f t="shared" si="24"/>
        <v>0</v>
      </c>
      <c r="K116" s="143">
        <f>H116-'Original Herd'!H116</f>
        <v>0</v>
      </c>
      <c r="L116" s="143">
        <f>I116-'Original Herd'!I116</f>
        <v>0</v>
      </c>
      <c r="M116" s="143">
        <f>J116-'Original Herd'!J116</f>
        <v>0</v>
      </c>
      <c r="N116" s="17"/>
      <c r="O116" s="17"/>
      <c r="P116" s="17"/>
      <c r="AB116">
        <f>'Original Herd'!B116</f>
        <v>10</v>
      </c>
      <c r="AC116">
        <f>'Original Herd'!C116</f>
        <v>0</v>
      </c>
      <c r="AD116">
        <f>'Original Herd'!D116</f>
        <v>0</v>
      </c>
      <c r="AE116">
        <f>'Original Herd'!E116</f>
        <v>0</v>
      </c>
      <c r="AF116">
        <f>'Original Herd'!F116</f>
        <v>0</v>
      </c>
      <c r="AG116">
        <f>'Original Herd'!G116</f>
        <v>0</v>
      </c>
      <c r="AH116">
        <f>'Original Herd'!H116</f>
        <v>0</v>
      </c>
      <c r="AI116">
        <f>'Original Herd'!I116</f>
        <v>0</v>
      </c>
      <c r="AJ116">
        <f>'Original Herd'!J116</f>
        <v>0</v>
      </c>
    </row>
    <row r="117" spans="2:36" ht="12.75">
      <c r="B117" s="101">
        <f t="shared" si="25"/>
        <v>11</v>
      </c>
      <c r="C117" s="103">
        <f t="shared" si="25"/>
        <v>0</v>
      </c>
      <c r="D117" s="348">
        <f t="shared" si="25"/>
        <v>0</v>
      </c>
      <c r="E117" s="116">
        <f t="shared" si="22"/>
        <v>0</v>
      </c>
      <c r="F117" s="117">
        <f t="shared" si="22"/>
        <v>0</v>
      </c>
      <c r="G117" s="117">
        <f t="shared" si="22"/>
        <v>0</v>
      </c>
      <c r="H117" s="117">
        <f t="shared" si="22"/>
        <v>0</v>
      </c>
      <c r="I117" s="117">
        <f t="shared" si="23"/>
        <v>0</v>
      </c>
      <c r="J117" s="118">
        <f t="shared" si="24"/>
        <v>0</v>
      </c>
      <c r="K117" s="143">
        <f>H117-'Original Herd'!H117</f>
        <v>0</v>
      </c>
      <c r="L117" s="143">
        <f>I117-'Original Herd'!I117</f>
        <v>0</v>
      </c>
      <c r="M117" s="143">
        <f>J117-'Original Herd'!J117</f>
        <v>0</v>
      </c>
      <c r="N117" s="17"/>
      <c r="O117" s="17"/>
      <c r="P117" s="17"/>
      <c r="AB117">
        <f>'Original Herd'!B117</f>
        <v>11</v>
      </c>
      <c r="AC117">
        <f>'Original Herd'!C117</f>
        <v>0</v>
      </c>
      <c r="AD117">
        <f>'Original Herd'!D117</f>
        <v>0</v>
      </c>
      <c r="AE117">
        <f>'Original Herd'!E117</f>
        <v>0</v>
      </c>
      <c r="AF117">
        <f>'Original Herd'!F117</f>
        <v>0</v>
      </c>
      <c r="AG117">
        <f>'Original Herd'!G117</f>
        <v>0</v>
      </c>
      <c r="AH117">
        <f>'Original Herd'!H117</f>
        <v>0</v>
      </c>
      <c r="AI117">
        <f>'Original Herd'!I117</f>
        <v>0</v>
      </c>
      <c r="AJ117">
        <f>'Original Herd'!J117</f>
        <v>0</v>
      </c>
    </row>
    <row r="118" spans="2:36" ht="12.75">
      <c r="B118" s="101">
        <f t="shared" si="25"/>
        <v>12</v>
      </c>
      <c r="C118" s="103">
        <f t="shared" si="25"/>
        <v>0</v>
      </c>
      <c r="D118" s="348">
        <f t="shared" si="25"/>
        <v>0</v>
      </c>
      <c r="E118" s="116">
        <f t="shared" si="22"/>
        <v>0</v>
      </c>
      <c r="F118" s="117">
        <f t="shared" si="22"/>
        <v>0</v>
      </c>
      <c r="G118" s="117">
        <f t="shared" si="22"/>
        <v>0</v>
      </c>
      <c r="H118" s="117">
        <f t="shared" si="22"/>
        <v>0</v>
      </c>
      <c r="I118" s="117">
        <f t="shared" si="23"/>
        <v>0</v>
      </c>
      <c r="J118" s="118">
        <f t="shared" si="24"/>
        <v>0</v>
      </c>
      <c r="K118" s="143">
        <f>H118-'Original Herd'!H118</f>
        <v>0</v>
      </c>
      <c r="L118" s="143">
        <f>I118-'Original Herd'!I118</f>
        <v>0</v>
      </c>
      <c r="M118" s="143">
        <f>J118-'Original Herd'!J118</f>
        <v>0</v>
      </c>
      <c r="N118" s="17"/>
      <c r="O118" s="17"/>
      <c r="P118" s="17"/>
      <c r="AB118">
        <f>'Original Herd'!B118</f>
        <v>12</v>
      </c>
      <c r="AC118">
        <f>'Original Herd'!C118</f>
        <v>0</v>
      </c>
      <c r="AD118">
        <f>'Original Herd'!D118</f>
        <v>0</v>
      </c>
      <c r="AE118">
        <f>'Original Herd'!E118</f>
        <v>0</v>
      </c>
      <c r="AF118">
        <f>'Original Herd'!F118</f>
        <v>0</v>
      </c>
      <c r="AG118">
        <f>'Original Herd'!G118</f>
        <v>0</v>
      </c>
      <c r="AH118">
        <f>'Original Herd'!H118</f>
        <v>0</v>
      </c>
      <c r="AI118">
        <f>'Original Herd'!I118</f>
        <v>0</v>
      </c>
      <c r="AJ118">
        <f>'Original Herd'!J118</f>
        <v>0</v>
      </c>
    </row>
    <row r="119" spans="2:36" ht="12.75">
      <c r="B119" s="101">
        <f t="shared" si="25"/>
        <v>13</v>
      </c>
      <c r="C119" s="103">
        <f t="shared" si="25"/>
        <v>0</v>
      </c>
      <c r="D119" s="348">
        <f t="shared" si="25"/>
        <v>0</v>
      </c>
      <c r="E119" s="116">
        <f t="shared" si="22"/>
        <v>0</v>
      </c>
      <c r="F119" s="117">
        <f t="shared" si="22"/>
        <v>0</v>
      </c>
      <c r="G119" s="117">
        <f t="shared" si="22"/>
        <v>0</v>
      </c>
      <c r="H119" s="117">
        <f t="shared" si="22"/>
        <v>0</v>
      </c>
      <c r="I119" s="117">
        <f t="shared" si="23"/>
        <v>0</v>
      </c>
      <c r="J119" s="118">
        <f t="shared" si="24"/>
        <v>0</v>
      </c>
      <c r="K119" s="143">
        <f>H119-'Original Herd'!H119</f>
        <v>0</v>
      </c>
      <c r="L119" s="143">
        <f>I119-'Original Herd'!I119</f>
        <v>0</v>
      </c>
      <c r="M119" s="143">
        <f>J119-'Original Herd'!J119</f>
        <v>0</v>
      </c>
      <c r="N119" s="17"/>
      <c r="O119" s="17"/>
      <c r="P119" s="17"/>
      <c r="AB119">
        <f>'Original Herd'!B119</f>
        <v>13</v>
      </c>
      <c r="AC119">
        <f>'Original Herd'!C119</f>
        <v>0</v>
      </c>
      <c r="AD119">
        <f>'Original Herd'!D119</f>
        <v>0</v>
      </c>
      <c r="AE119">
        <f>'Original Herd'!E119</f>
        <v>0</v>
      </c>
      <c r="AF119">
        <f>'Original Herd'!F119</f>
        <v>0</v>
      </c>
      <c r="AG119">
        <f>'Original Herd'!G119</f>
        <v>0</v>
      </c>
      <c r="AH119">
        <f>'Original Herd'!H119</f>
        <v>0</v>
      </c>
      <c r="AI119">
        <f>'Original Herd'!I119</f>
        <v>0</v>
      </c>
      <c r="AJ119">
        <f>'Original Herd'!J119</f>
        <v>0</v>
      </c>
    </row>
    <row r="120" spans="2:36" ht="12.75">
      <c r="B120" s="101">
        <f t="shared" si="25"/>
        <v>14</v>
      </c>
      <c r="C120" s="103">
        <f t="shared" si="25"/>
        <v>0</v>
      </c>
      <c r="D120" s="348">
        <f t="shared" si="25"/>
        <v>0</v>
      </c>
      <c r="E120" s="116">
        <f aca="true" t="shared" si="26" ref="E120:H121">$D96*E96*365</f>
        <v>0</v>
      </c>
      <c r="F120" s="117">
        <f t="shared" si="26"/>
        <v>0</v>
      </c>
      <c r="G120" s="117">
        <f t="shared" si="26"/>
        <v>0</v>
      </c>
      <c r="H120" s="117">
        <f t="shared" si="26"/>
        <v>0</v>
      </c>
      <c r="I120" s="117">
        <f t="shared" si="23"/>
        <v>0</v>
      </c>
      <c r="J120" s="118">
        <f t="shared" si="24"/>
        <v>0</v>
      </c>
      <c r="K120" s="143">
        <f>H120-'Original Herd'!H120</f>
        <v>0</v>
      </c>
      <c r="L120" s="143">
        <f>I120-'Original Herd'!I120</f>
        <v>0</v>
      </c>
      <c r="M120" s="143">
        <f>J120-'Original Herd'!J120</f>
        <v>0</v>
      </c>
      <c r="N120" s="17"/>
      <c r="O120" s="17"/>
      <c r="P120" s="17"/>
      <c r="AB120">
        <f>'Original Herd'!B120</f>
        <v>14</v>
      </c>
      <c r="AC120">
        <f>'Original Herd'!C120</f>
        <v>0</v>
      </c>
      <c r="AD120">
        <f>'Original Herd'!D120</f>
        <v>0</v>
      </c>
      <c r="AE120">
        <f>'Original Herd'!E120</f>
        <v>0</v>
      </c>
      <c r="AF120">
        <f>'Original Herd'!F120</f>
        <v>0</v>
      </c>
      <c r="AG120">
        <f>'Original Herd'!G120</f>
        <v>0</v>
      </c>
      <c r="AH120">
        <f>'Original Herd'!H120</f>
        <v>0</v>
      </c>
      <c r="AI120">
        <f>'Original Herd'!I120</f>
        <v>0</v>
      </c>
      <c r="AJ120">
        <f>'Original Herd'!J120</f>
        <v>0</v>
      </c>
    </row>
    <row r="121" spans="2:36" ht="12.75" customHeight="1">
      <c r="B121" s="102">
        <f t="shared" si="25"/>
        <v>15</v>
      </c>
      <c r="C121" s="107">
        <f t="shared" si="25"/>
        <v>0</v>
      </c>
      <c r="D121" s="349">
        <f t="shared" si="25"/>
        <v>0</v>
      </c>
      <c r="E121" s="119">
        <f t="shared" si="26"/>
        <v>0</v>
      </c>
      <c r="F121" s="120">
        <f t="shared" si="26"/>
        <v>0</v>
      </c>
      <c r="G121" s="120">
        <f t="shared" si="26"/>
        <v>0</v>
      </c>
      <c r="H121" s="120">
        <f t="shared" si="26"/>
        <v>0</v>
      </c>
      <c r="I121" s="120">
        <f t="shared" si="23"/>
        <v>0</v>
      </c>
      <c r="J121" s="121">
        <f t="shared" si="24"/>
        <v>0</v>
      </c>
      <c r="K121" s="143">
        <f>H121-'Original Herd'!H121</f>
        <v>0</v>
      </c>
      <c r="L121" s="143">
        <f>I121-'Original Herd'!I121</f>
        <v>0</v>
      </c>
      <c r="M121" s="143">
        <f>J121-'Original Herd'!J121</f>
        <v>0</v>
      </c>
      <c r="N121" s="17"/>
      <c r="O121" s="17"/>
      <c r="P121" s="17"/>
      <c r="AB121">
        <f>'Original Herd'!B121</f>
        <v>15</v>
      </c>
      <c r="AC121">
        <f>'Original Herd'!C121</f>
        <v>0</v>
      </c>
      <c r="AD121">
        <f>'Original Herd'!D121</f>
        <v>0</v>
      </c>
      <c r="AE121">
        <f>'Original Herd'!E121</f>
        <v>0</v>
      </c>
      <c r="AF121">
        <f>'Original Herd'!F121</f>
        <v>0</v>
      </c>
      <c r="AG121">
        <f>'Original Herd'!G121</f>
        <v>0</v>
      </c>
      <c r="AH121">
        <f>'Original Herd'!H121</f>
        <v>0</v>
      </c>
      <c r="AI121">
        <f>'Original Herd'!I121</f>
        <v>0</v>
      </c>
      <c r="AJ121">
        <f>'Original Herd'!J121</f>
        <v>0</v>
      </c>
    </row>
    <row r="122" spans="2:16" ht="12.75" customHeight="1">
      <c r="B122" s="13"/>
      <c r="C122" s="13"/>
      <c r="D122" s="18"/>
      <c r="E122" s="122"/>
      <c r="F122" s="122"/>
      <c r="G122" s="122"/>
      <c r="H122" s="122"/>
      <c r="I122" s="122"/>
      <c r="J122" s="122"/>
      <c r="K122" s="17"/>
      <c r="L122" s="17"/>
      <c r="M122" s="17"/>
      <c r="N122" s="17"/>
      <c r="O122" s="17"/>
      <c r="P122" s="17"/>
    </row>
    <row r="123" spans="2:36" ht="12.75" customHeight="1">
      <c r="B123" s="7"/>
      <c r="D123" s="26" t="s">
        <v>85</v>
      </c>
      <c r="E123" s="139">
        <f aca="true" t="shared" si="27" ref="E123:J123">SUMPRODUCT(E107:E121,$C83:$C97)</f>
        <v>5406542.590909091</v>
      </c>
      <c r="F123" s="139">
        <f t="shared" si="27"/>
        <v>158775</v>
      </c>
      <c r="G123" s="139">
        <f t="shared" si="27"/>
        <v>287133.33333333326</v>
      </c>
      <c r="H123" s="139">
        <f t="shared" si="27"/>
        <v>5852450.924242424</v>
      </c>
      <c r="I123" s="139">
        <f t="shared" si="27"/>
        <v>14235995.454545455</v>
      </c>
      <c r="J123" s="140">
        <f t="shared" si="27"/>
        <v>8383544.530303031</v>
      </c>
      <c r="AD123" t="str">
        <f>'Original Herd'!D123</f>
        <v>Total (all groups):</v>
      </c>
      <c r="AE123">
        <f>'Original Herd'!E123</f>
        <v>5347104.000000001</v>
      </c>
      <c r="AF123">
        <f>'Original Herd'!F123</f>
        <v>210240.00000000003</v>
      </c>
      <c r="AG123">
        <f>'Original Herd'!G123</f>
        <v>311466.6666666666</v>
      </c>
      <c r="AH123">
        <f>'Original Herd'!H123</f>
        <v>5868810.666666666</v>
      </c>
      <c r="AI123">
        <f>'Original Herd'!I123</f>
        <v>14716800</v>
      </c>
      <c r="AJ123">
        <f>'Original Herd'!J123</f>
        <v>8847989.333333334</v>
      </c>
    </row>
    <row r="124" spans="2:10" ht="12.75" customHeight="1">
      <c r="B124" s="7"/>
      <c r="D124" s="148" t="s">
        <v>89</v>
      </c>
      <c r="E124" s="149">
        <f>'Original Herd'!E123</f>
        <v>5347104.000000001</v>
      </c>
      <c r="F124" s="149">
        <f>'Original Herd'!F123</f>
        <v>210240.00000000003</v>
      </c>
      <c r="G124" s="149">
        <f>'Original Herd'!G123</f>
        <v>311466.6666666666</v>
      </c>
      <c r="H124" s="149">
        <f>'Original Herd'!H123</f>
        <v>5868810.666666666</v>
      </c>
      <c r="I124" s="149">
        <f>'Original Herd'!I123</f>
        <v>14716800</v>
      </c>
      <c r="J124" s="149">
        <f>'Original Herd'!J123</f>
        <v>8847989.333333334</v>
      </c>
    </row>
    <row r="125" spans="2:10" ht="18">
      <c r="B125" s="7"/>
      <c r="D125" s="133" t="s">
        <v>95</v>
      </c>
      <c r="E125" s="135">
        <f aca="true" t="shared" si="28" ref="E125:J125">E123-E124</f>
        <v>59438.59090908989</v>
      </c>
      <c r="F125" s="135">
        <f t="shared" si="28"/>
        <v>-51465.00000000003</v>
      </c>
      <c r="G125" s="135">
        <f t="shared" si="28"/>
        <v>-24333.333333333372</v>
      </c>
      <c r="H125" s="135">
        <f t="shared" si="28"/>
        <v>-16359.742424242198</v>
      </c>
      <c r="I125" s="135">
        <f t="shared" si="28"/>
        <v>-480804.54545454495</v>
      </c>
      <c r="J125" s="135">
        <f t="shared" si="28"/>
        <v>-464444.80303030275</v>
      </c>
    </row>
    <row r="126" spans="2:10" ht="18">
      <c r="B126" s="7"/>
      <c r="D126" s="133"/>
      <c r="E126" s="135"/>
      <c r="F126" s="135"/>
      <c r="G126" s="135"/>
      <c r="H126" s="135"/>
      <c r="I126" s="135"/>
      <c r="J126" s="135"/>
    </row>
    <row r="127" spans="1:27" ht="18">
      <c r="A127" s="239" t="s">
        <v>37</v>
      </c>
      <c r="B127" s="226"/>
      <c r="C127" s="226"/>
      <c r="D127" s="240"/>
      <c r="E127" s="224"/>
      <c r="F127" s="2"/>
      <c r="G127" s="4"/>
      <c r="H127" s="2"/>
      <c r="I127" s="241" t="s">
        <v>117</v>
      </c>
      <c r="J127" s="224"/>
      <c r="AA127" t="str">
        <f>'Original Herd'!A127</f>
        <v>Replacement</v>
      </c>
    </row>
    <row r="128" spans="1:27" ht="18">
      <c r="A128" s="239" t="s">
        <v>43</v>
      </c>
      <c r="B128" s="226"/>
      <c r="C128" s="226"/>
      <c r="D128" s="224"/>
      <c r="E128" s="224"/>
      <c r="F128" s="147" t="s">
        <v>89</v>
      </c>
      <c r="G128" s="147" t="s">
        <v>95</v>
      </c>
      <c r="H128" s="2"/>
      <c r="I128" s="242" t="s">
        <v>118</v>
      </c>
      <c r="J128" s="224"/>
      <c r="AA128" t="str">
        <f>'Original Herd'!A128</f>
        <v>Summary</v>
      </c>
    </row>
    <row r="129" spans="2:31" ht="12.75">
      <c r="B129" s="76" t="s">
        <v>81</v>
      </c>
      <c r="C129" s="12"/>
      <c r="D129" s="24" t="s">
        <v>82</v>
      </c>
      <c r="E129" s="351">
        <f>(K15)*(D99/(1-K16))</f>
        <v>1636.046511627907</v>
      </c>
      <c r="F129" s="141">
        <f>'Original Herd'!E129</f>
        <v>1562.7906976744184</v>
      </c>
      <c r="G129" s="134">
        <f>E129-F129</f>
        <v>73.25581395348854</v>
      </c>
      <c r="H129" s="2"/>
      <c r="I129" s="204"/>
      <c r="J129" s="211" t="s">
        <v>88</v>
      </c>
      <c r="K129" s="212" t="s">
        <v>105</v>
      </c>
      <c r="L129" s="146" t="s">
        <v>95</v>
      </c>
      <c r="AB129" t="str">
        <f>'Original Herd'!B129</f>
        <v>Number of Culls</v>
      </c>
      <c r="AD129" t="str">
        <f>'Original Herd'!D129</f>
        <v>(Head/yr)</v>
      </c>
      <c r="AE129">
        <f>'Original Herd'!E129</f>
        <v>1562.7906976744184</v>
      </c>
    </row>
    <row r="130" spans="2:31" ht="12.75">
      <c r="B130" s="77" t="s">
        <v>80</v>
      </c>
      <c r="C130" s="13"/>
      <c r="D130" s="11" t="s">
        <v>78</v>
      </c>
      <c r="E130" s="352">
        <f>SUMPRODUCT(C83:C97,D83:D97,E28:E42)/D99</f>
        <v>1500</v>
      </c>
      <c r="F130" s="141">
        <f>'Original Herd'!E130</f>
        <v>1500</v>
      </c>
      <c r="G130" s="134">
        <f aca="true" t="shared" si="29" ref="G130:G140">E130-F130</f>
        <v>0</v>
      </c>
      <c r="I130" s="9" t="s">
        <v>119</v>
      </c>
      <c r="J130" s="206">
        <f>D99</f>
        <v>4020</v>
      </c>
      <c r="K130" s="213">
        <f>'Original Herd'!D99</f>
        <v>3840</v>
      </c>
      <c r="L130" s="199">
        <f>J130-K130</f>
        <v>180</v>
      </c>
      <c r="AB130" t="str">
        <f>'Original Herd'!B130</f>
        <v>Wtd. Avg. Body Weight</v>
      </c>
      <c r="AD130" t="str">
        <f>'Original Herd'!D130</f>
        <v>(Lbs/Head)</v>
      </c>
      <c r="AE130">
        <f>'Original Herd'!E130</f>
        <v>1500</v>
      </c>
    </row>
    <row r="131" spans="2:31" ht="12.75">
      <c r="B131" s="77" t="s">
        <v>76</v>
      </c>
      <c r="C131" s="13"/>
      <c r="D131" s="11" t="s">
        <v>38</v>
      </c>
      <c r="E131" s="123">
        <f>E130*K14</f>
        <v>525</v>
      </c>
      <c r="F131" s="141">
        <f>'Original Herd'!E131</f>
        <v>525</v>
      </c>
      <c r="G131" s="134">
        <f t="shared" si="29"/>
        <v>0</v>
      </c>
      <c r="I131" s="9" t="s">
        <v>120</v>
      </c>
      <c r="J131" s="206">
        <f>J130/(1-$K$16)-J130</f>
        <v>654.4186046511632</v>
      </c>
      <c r="K131" s="213">
        <f>K130/(1-'Original Herd'!K16)-K130</f>
        <v>625.1162790697672</v>
      </c>
      <c r="L131" s="199">
        <f>J131-K131</f>
        <v>29.302325581395962</v>
      </c>
      <c r="AB131" t="str">
        <f>'Original Herd'!B131</f>
        <v>Cull Income</v>
      </c>
      <c r="AD131" t="str">
        <f>'Original Herd'!D131</f>
        <v>($/Head)</v>
      </c>
      <c r="AE131">
        <f>'Original Herd'!E131</f>
        <v>525</v>
      </c>
    </row>
    <row r="132" spans="2:31" ht="12.75">
      <c r="B132" s="77" t="s">
        <v>75</v>
      </c>
      <c r="C132" s="13"/>
      <c r="D132" s="11" t="s">
        <v>38</v>
      </c>
      <c r="E132" s="123">
        <f>K13</f>
        <v>1800</v>
      </c>
      <c r="F132" s="141">
        <f>'Original Herd'!E132</f>
        <v>1800</v>
      </c>
      <c r="G132" s="134">
        <f t="shared" si="29"/>
        <v>0</v>
      </c>
      <c r="I132" s="9" t="s">
        <v>131</v>
      </c>
      <c r="J132" s="206">
        <f>C99</f>
        <v>9</v>
      </c>
      <c r="K132" s="213">
        <f>C100</f>
        <v>8</v>
      </c>
      <c r="L132" s="199">
        <f>J132-K132</f>
        <v>1</v>
      </c>
      <c r="AB132" t="str">
        <f>'Original Herd'!B132</f>
        <v>Replacement Cost</v>
      </c>
      <c r="AD132" t="str">
        <f>'Original Herd'!D132</f>
        <v>($/Head)</v>
      </c>
      <c r="AE132">
        <f>'Original Herd'!E132</f>
        <v>1800</v>
      </c>
    </row>
    <row r="133" spans="2:31" ht="12.75">
      <c r="B133" s="77" t="s">
        <v>77</v>
      </c>
      <c r="C133" s="13"/>
      <c r="D133" s="11" t="s">
        <v>52</v>
      </c>
      <c r="E133" s="123">
        <f>E132*E129</f>
        <v>2944883.7209302327</v>
      </c>
      <c r="F133" s="141">
        <f>'Original Herd'!E133</f>
        <v>2813023.255813953</v>
      </c>
      <c r="G133" s="134">
        <f t="shared" si="29"/>
        <v>131860.46511627967</v>
      </c>
      <c r="I133" s="9"/>
      <c r="J133" s="208"/>
      <c r="K133" s="205"/>
      <c r="L133" s="200"/>
      <c r="AB133" t="str">
        <f>'Original Herd'!B133</f>
        <v>Ann. Replacement Cost</v>
      </c>
      <c r="AD133" t="str">
        <f>'Original Herd'!D133</f>
        <v>($/yr)</v>
      </c>
      <c r="AE133">
        <f>'Original Herd'!E133</f>
        <v>2813023.255813953</v>
      </c>
    </row>
    <row r="134" spans="2:31" ht="12.75">
      <c r="B134" s="77" t="s">
        <v>79</v>
      </c>
      <c r="C134" s="13"/>
      <c r="D134" s="11" t="s">
        <v>52</v>
      </c>
      <c r="E134" s="123">
        <f>E129*E131</f>
        <v>858924.4186046511</v>
      </c>
      <c r="F134" s="141">
        <f>'Original Herd'!E134</f>
        <v>820465.1162790697</v>
      </c>
      <c r="G134" s="134">
        <f t="shared" si="29"/>
        <v>38459.30232558143</v>
      </c>
      <c r="I134" s="207" t="s">
        <v>173</v>
      </c>
      <c r="J134" s="169"/>
      <c r="K134" s="10"/>
      <c r="L134" s="203"/>
      <c r="AB134" t="str">
        <f>'Original Herd'!B134</f>
        <v>Annual Cull Income</v>
      </c>
      <c r="AD134" t="str">
        <f>'Original Herd'!D134</f>
        <v>($/yr)</v>
      </c>
      <c r="AE134">
        <f>'Original Herd'!E134</f>
        <v>820465.1162790697</v>
      </c>
    </row>
    <row r="135" spans="2:12" ht="12.75">
      <c r="B135" s="77"/>
      <c r="C135" s="13"/>
      <c r="D135" s="11"/>
      <c r="E135" s="123"/>
      <c r="F135" s="141"/>
      <c r="G135" s="134"/>
      <c r="I135" s="9" t="s">
        <v>170</v>
      </c>
      <c r="J135" s="209">
        <f>K21*L130</f>
        <v>21600</v>
      </c>
      <c r="K135" s="2"/>
      <c r="L135" s="201">
        <f aca="true" t="shared" si="30" ref="L135:L142">J135-K135</f>
        <v>21600</v>
      </c>
    </row>
    <row r="136" spans="2:28" ht="12.75">
      <c r="B136" s="77" t="s">
        <v>74</v>
      </c>
      <c r="C136" s="13"/>
      <c r="E136" s="84"/>
      <c r="F136" s="141"/>
      <c r="G136" s="134"/>
      <c r="I136" s="207" t="s">
        <v>171</v>
      </c>
      <c r="J136" s="214">
        <f>365*K22*L131</f>
        <v>21390.697674419054</v>
      </c>
      <c r="K136" s="10"/>
      <c r="L136" s="202">
        <f t="shared" si="30"/>
        <v>21390.697674419054</v>
      </c>
      <c r="AB136" t="str">
        <f>'Original Herd'!B136</f>
        <v>Net Annual</v>
      </c>
    </row>
    <row r="137" spans="2:31" ht="12.75">
      <c r="B137" s="77" t="s">
        <v>75</v>
      </c>
      <c r="C137" s="13"/>
      <c r="D137" s="11" t="s">
        <v>52</v>
      </c>
      <c r="E137" s="123">
        <f>E133-E134</f>
        <v>2085959.3023255817</v>
      </c>
      <c r="F137" s="141">
        <f>'Original Herd'!E137</f>
        <v>1992558.1395348832</v>
      </c>
      <c r="G137" s="134">
        <f t="shared" si="29"/>
        <v>93401.16279069846</v>
      </c>
      <c r="I137" s="9" t="s">
        <v>130</v>
      </c>
      <c r="J137" s="209">
        <f>SUM(J135:J136)</f>
        <v>42990.697674419054</v>
      </c>
      <c r="K137" s="2"/>
      <c r="L137" s="201">
        <f t="shared" si="30"/>
        <v>42990.697674419054</v>
      </c>
      <c r="AB137" t="str">
        <f>'Original Herd'!B137</f>
        <v>Replacement Cost</v>
      </c>
      <c r="AD137" t="str">
        <f>'Original Herd'!D137</f>
        <v>($/yr)</v>
      </c>
      <c r="AE137">
        <f>'Original Herd'!E137</f>
        <v>1992558.1395348832</v>
      </c>
    </row>
    <row r="138" spans="2:12" ht="12.75">
      <c r="B138" s="77"/>
      <c r="C138" s="13"/>
      <c r="D138" s="11"/>
      <c r="E138" s="123"/>
      <c r="F138" s="350"/>
      <c r="G138" s="150"/>
      <c r="I138" s="9"/>
      <c r="J138" s="209"/>
      <c r="K138" s="2"/>
      <c r="L138" s="201"/>
    </row>
    <row r="139" spans="2:28" ht="12.75">
      <c r="B139" s="76" t="s">
        <v>167</v>
      </c>
      <c r="C139" s="12"/>
      <c r="D139" s="24"/>
      <c r="E139" s="125"/>
      <c r="F139" s="141"/>
      <c r="G139" s="134"/>
      <c r="I139" s="207" t="s">
        <v>174</v>
      </c>
      <c r="J139" s="214"/>
      <c r="K139" s="10"/>
      <c r="L139" s="202"/>
      <c r="AB139" t="str">
        <f>'Original Herd'!B139</f>
        <v>Partial Net Cash Income</v>
      </c>
    </row>
    <row r="140" spans="2:31" ht="12.75">
      <c r="B140" s="78" t="s">
        <v>73</v>
      </c>
      <c r="C140" s="14"/>
      <c r="D140" s="250" t="s">
        <v>52</v>
      </c>
      <c r="E140" s="124">
        <f>J123-E137</f>
        <v>6297585.227977449</v>
      </c>
      <c r="F140" s="350">
        <f>'Original Herd'!E140</f>
        <v>6855431.193798451</v>
      </c>
      <c r="G140" s="150">
        <f t="shared" si="29"/>
        <v>-557845.9658210017</v>
      </c>
      <c r="I140" s="9" t="s">
        <v>172</v>
      </c>
      <c r="J140" s="209">
        <f>-PMT($K$20/12,12/$K$15,$K$13)*(L130+L131)*12</f>
        <v>145868.69949669234</v>
      </c>
      <c r="K140" s="2"/>
      <c r="L140" s="201">
        <f>J140-K140</f>
        <v>145868.69949669234</v>
      </c>
      <c r="AB140" t="str">
        <f>'Original Herd'!B140</f>
        <v>adjusted for Replacements</v>
      </c>
      <c r="AD140" t="str">
        <f>'Original Herd'!D140</f>
        <v>($/yr)</v>
      </c>
      <c r="AE140">
        <f>'Original Herd'!E140</f>
        <v>6855431.193798451</v>
      </c>
    </row>
    <row r="141" spans="9:12" ht="12.75">
      <c r="I141" s="207" t="str">
        <f>"New Pens ($"&amp;TEXT(K23,"#")&amp;" /Cow)"</f>
        <v>New Pens ($300 /Cow)</v>
      </c>
      <c r="J141" s="210">
        <f>IF(C99&gt;C100,-PMT(K20/12,5*12,K23)*(L130+L131)*12,0)</f>
        <v>14919.972853658765</v>
      </c>
      <c r="K141" s="10"/>
      <c r="L141" s="202">
        <f t="shared" si="30"/>
        <v>14919.972853658765</v>
      </c>
    </row>
    <row r="142" spans="9:12" ht="12.75">
      <c r="I142" s="204" t="s">
        <v>136</v>
      </c>
      <c r="J142" s="215">
        <f>SUM(J140:J141)</f>
        <v>160788.67235035112</v>
      </c>
      <c r="K142" s="216"/>
      <c r="L142" s="217">
        <f t="shared" si="30"/>
        <v>160788.67235035112</v>
      </c>
    </row>
    <row r="143" spans="2:7" ht="17.25">
      <c r="B143" s="251" t="s">
        <v>43</v>
      </c>
      <c r="C143" s="252"/>
      <c r="D143" s="252"/>
      <c r="E143" s="260" t="s">
        <v>88</v>
      </c>
      <c r="F143" s="253" t="s">
        <v>89</v>
      </c>
      <c r="G143" s="253" t="s">
        <v>95</v>
      </c>
    </row>
    <row r="144" spans="2:10" ht="12.75">
      <c r="B144" s="245" t="s">
        <v>139</v>
      </c>
      <c r="C144" s="8"/>
      <c r="D144" s="246" t="s">
        <v>52</v>
      </c>
      <c r="E144" s="261">
        <f>J123</f>
        <v>8383544.530303031</v>
      </c>
      <c r="F144" s="247">
        <f>J124</f>
        <v>8847989.333333334</v>
      </c>
      <c r="G144" s="266">
        <f aca="true" t="shared" si="31" ref="G144:G149">E144-F144</f>
        <v>-464444.80303030275</v>
      </c>
      <c r="J144" s="5"/>
    </row>
    <row r="145" spans="2:7" ht="12.75">
      <c r="B145" s="9" t="str">
        <f>"Cost of "&amp;TEXT(K15,"##%")&amp;" replacements"</f>
        <v>Cost of 35% replacements</v>
      </c>
      <c r="C145" s="2"/>
      <c r="D145" s="243" t="s">
        <v>52</v>
      </c>
      <c r="E145" s="262">
        <f>E137</f>
        <v>2085959.3023255817</v>
      </c>
      <c r="F145" s="141">
        <f>F137</f>
        <v>1992558.1395348832</v>
      </c>
      <c r="G145" s="135">
        <f t="shared" si="31"/>
        <v>93401.16279069846</v>
      </c>
    </row>
    <row r="146" spans="2:7" ht="12.75">
      <c r="B146" s="248" t="s">
        <v>140</v>
      </c>
      <c r="C146" s="2"/>
      <c r="D146" s="11" t="s">
        <v>52</v>
      </c>
      <c r="E146" s="263">
        <f>J137</f>
        <v>42990.697674419054</v>
      </c>
      <c r="F146" s="2"/>
      <c r="G146" s="135">
        <f t="shared" si="31"/>
        <v>42990.697674419054</v>
      </c>
    </row>
    <row r="147" spans="2:7" ht="12.75">
      <c r="B147" s="248" t="s">
        <v>141</v>
      </c>
      <c r="C147" s="2"/>
      <c r="D147" s="11" t="s">
        <v>52</v>
      </c>
      <c r="E147" s="263">
        <f>J140</f>
        <v>145868.69949669234</v>
      </c>
      <c r="F147" s="2"/>
      <c r="G147" s="135">
        <f t="shared" si="31"/>
        <v>145868.69949669234</v>
      </c>
    </row>
    <row r="148" spans="2:7" ht="12.75">
      <c r="B148" s="249" t="s">
        <v>137</v>
      </c>
      <c r="C148" s="10"/>
      <c r="D148" s="250" t="s">
        <v>52</v>
      </c>
      <c r="E148" s="264">
        <f>J141</f>
        <v>14919.972853658765</v>
      </c>
      <c r="F148" s="10"/>
      <c r="G148" s="135">
        <f t="shared" si="31"/>
        <v>14919.972853658765</v>
      </c>
    </row>
    <row r="149" spans="2:7" ht="12.75">
      <c r="B149" s="254" t="s">
        <v>138</v>
      </c>
      <c r="C149" s="252"/>
      <c r="D149" s="255" t="s">
        <v>52</v>
      </c>
      <c r="E149" s="265">
        <f>E144-E145-E146-E147-E148</f>
        <v>6093805.8579526795</v>
      </c>
      <c r="F149" s="256">
        <f>F144-F145-F146-F147-F148</f>
        <v>6855431.193798451</v>
      </c>
      <c r="G149" s="256">
        <f t="shared" si="31"/>
        <v>-761625.3358457712</v>
      </c>
    </row>
  </sheetData>
  <sheetProtection sheet="1" objects="1" scenarios="1"/>
  <protectedRanges>
    <protectedRange sqref="F1" name="Title"/>
    <protectedRange sqref="L28:L42" name="Group Input 2"/>
    <protectedRange sqref="M23" name="Milking Frequency Input_1"/>
    <protectedRange sqref="B28:J42" name="Group Input 1"/>
    <protectedRange sqref="K13:K15 K17" name="Replacement Input"/>
    <protectedRange sqref="K16 K20:K23" name="Inventory Input"/>
    <protectedRange sqref="M20:M22" name="Milking Frequency Input"/>
  </protectedRanges>
  <conditionalFormatting sqref="C71:D71 C73:D73">
    <cfRule type="cellIs" priority="1" dxfId="11" operator="greaterThan" stopIfTrue="1">
      <formula>D16</formula>
    </cfRule>
  </conditionalFormatting>
  <conditionalFormatting sqref="M28:M42">
    <cfRule type="expression" priority="2" dxfId="9" stopIfTrue="1">
      <formula>M28&lt;&gt;F28</formula>
    </cfRule>
  </conditionalFormatting>
  <conditionalFormatting sqref="N28:N42">
    <cfRule type="expression" priority="3" dxfId="9" stopIfTrue="1">
      <formula>N28&lt;&gt;I28</formula>
    </cfRule>
  </conditionalFormatting>
  <conditionalFormatting sqref="C16:G18 K13:K16 E140 L28:L42 C51:F65 G52:G65 G51:J51 I52:I65 K51:L65 J28:J42 C83:J97 C107:J121 G28:H42 E129:E134 E137 C28:E42">
    <cfRule type="expression" priority="4" dxfId="0" stopIfTrue="1">
      <formula>C13&lt;&gt;AC13</formula>
    </cfRule>
  </conditionalFormatting>
  <conditionalFormatting sqref="D72">
    <cfRule type="cellIs" priority="5" dxfId="7" operator="lessThan" stopIfTrue="1">
      <formula>0</formula>
    </cfRule>
  </conditionalFormatting>
  <conditionalFormatting sqref="H16:H18">
    <cfRule type="cellIs" priority="6" dxfId="6" operator="greaterThan" stopIfTrue="1">
      <formula>0</formula>
    </cfRule>
  </conditionalFormatting>
  <conditionalFormatting sqref="B6:L7">
    <cfRule type="cellIs" priority="7" dxfId="5" operator="greaterThan" stopIfTrue="1">
      <formula>0</formula>
    </cfRule>
  </conditionalFormatting>
  <conditionalFormatting sqref="F28:F42">
    <cfRule type="expression" priority="8" dxfId="0" stopIfTrue="1">
      <formula>OR(AND(G28=AG28,F28&lt;&gt;AF28),AND(LEFT($G$23,1)&lt;&gt;"Y",G28&lt;&gt;AG28,F28&lt;&gt;AF28))</formula>
    </cfRule>
    <cfRule type="expression" priority="9" dxfId="1" stopIfTrue="1">
      <formula>AND(LEFT($G$23,1)="y",G28&lt;&gt;AG28)</formula>
    </cfRule>
  </conditionalFormatting>
  <conditionalFormatting sqref="I28:I42">
    <cfRule type="expression" priority="10" dxfId="0" stopIfTrue="1">
      <formula>OR(AND(G28=AG28,I28&lt;&gt;AI28),AND(LEFT($G$24,1)&lt;&gt;"Y",G28&lt;&gt;AG28,I28&lt;&gt;AI28))</formula>
    </cfRule>
    <cfRule type="expression" priority="11" dxfId="1" stopIfTrue="1">
      <formula>AND(LEFT($G$24,1)="y",G28&lt;&gt;AG28)</formula>
    </cfRule>
  </conditionalFormatting>
  <conditionalFormatting sqref="C99:D99 E123:J123">
    <cfRule type="expression" priority="12" dxfId="0" stopIfTrue="1">
      <formula>C99&lt;&gt;AC99</formula>
    </cfRule>
  </conditionalFormatting>
  <dataValidations count="1">
    <dataValidation type="list" allowBlank="1" showInputMessage="1" showErrorMessage="1" sqref="G23:G24">
      <formula1>"No,Yes"</formula1>
    </dataValidation>
  </dataValidations>
  <printOptions/>
  <pageMargins left="0.5" right="0.5" top="0.5" bottom="0.5" header="0.5" footer="0.5"/>
  <pageSetup fitToHeight="3" horizontalDpi="600" verticalDpi="600" orientation="landscape" scale="61" r:id="rId3"/>
  <headerFooter alignWithMargins="0">
    <oddFooter>&amp;R&amp;8Dairy Management at VA Tech
&amp;F
&amp;D</oddFooter>
  </headerFooter>
  <rowBreaks count="2" manualBreakCount="2">
    <brk id="65" max="255" man="1"/>
    <brk id="12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45.57421875" style="0" customWidth="1"/>
    <col min="4" max="4" width="4.28125" style="0" customWidth="1"/>
    <col min="5" max="5" width="4.140625" style="0" customWidth="1"/>
    <col min="6" max="6" width="53.57421875" style="0" customWidth="1"/>
    <col min="7" max="7" width="12.421875" style="0" customWidth="1"/>
  </cols>
  <sheetData>
    <row r="1" ht="17.25">
      <c r="A1" s="283" t="s">
        <v>156</v>
      </c>
    </row>
    <row r="2" ht="12.75">
      <c r="C2" t="s">
        <v>150</v>
      </c>
    </row>
    <row r="3" spans="2:5" ht="15">
      <c r="B3" s="267" t="s">
        <v>148</v>
      </c>
      <c r="E3" s="267" t="s">
        <v>149</v>
      </c>
    </row>
    <row r="4" spans="2:6" ht="12.75">
      <c r="B4" s="285"/>
      <c r="C4" s="284"/>
      <c r="F4" s="284"/>
    </row>
    <row r="5" spans="2:6" ht="12.75">
      <c r="B5" s="285"/>
      <c r="C5" s="284"/>
      <c r="F5" s="284"/>
    </row>
    <row r="6" spans="2:6" ht="12.75">
      <c r="B6" s="285"/>
      <c r="C6" s="284"/>
      <c r="F6" s="284"/>
    </row>
    <row r="7" spans="2:6" ht="12.75">
      <c r="B7" s="285"/>
      <c r="C7" s="284"/>
      <c r="F7" s="284"/>
    </row>
    <row r="8" spans="2:6" ht="12.75">
      <c r="B8" s="285"/>
      <c r="C8" s="284"/>
      <c r="F8" s="284"/>
    </row>
    <row r="10" spans="2:5" ht="15">
      <c r="B10" s="267" t="s">
        <v>4</v>
      </c>
      <c r="E10" s="267" t="s">
        <v>151</v>
      </c>
    </row>
    <row r="11" spans="3:6" ht="12.75">
      <c r="C11" s="284"/>
      <c r="F11" s="284"/>
    </row>
    <row r="12" spans="3:6" ht="12.75">
      <c r="C12" s="284"/>
      <c r="F12" s="284"/>
    </row>
    <row r="13" spans="3:6" ht="12.75">
      <c r="C13" s="284"/>
      <c r="F13" s="284"/>
    </row>
    <row r="14" spans="3:6" ht="12.75">
      <c r="C14" s="284"/>
      <c r="F14" s="284"/>
    </row>
    <row r="15" spans="3:6" ht="12.75">
      <c r="C15" s="284"/>
      <c r="F15" s="284"/>
    </row>
    <row r="16" spans="3:6" ht="12.75">
      <c r="C16" s="284"/>
      <c r="F16" s="284"/>
    </row>
    <row r="18" spans="2:5" ht="15">
      <c r="B18" s="267" t="s">
        <v>3</v>
      </c>
      <c r="E18" s="267" t="s">
        <v>152</v>
      </c>
    </row>
    <row r="19" spans="3:6" ht="12.75">
      <c r="C19" s="284"/>
      <c r="F19" s="284"/>
    </row>
    <row r="20" spans="3:6" ht="12.75">
      <c r="C20" s="284"/>
      <c r="F20" s="284"/>
    </row>
    <row r="21" spans="3:6" ht="12.75">
      <c r="C21" s="284"/>
      <c r="F21" s="284"/>
    </row>
    <row r="22" spans="3:6" ht="12.75">
      <c r="C22" s="284"/>
      <c r="F22" s="284"/>
    </row>
    <row r="23" spans="3:6" ht="12.75">
      <c r="C23" s="284"/>
      <c r="F23" s="284"/>
    </row>
    <row r="24" spans="3:6" ht="12.75">
      <c r="C24" s="284"/>
      <c r="F24" s="284"/>
    </row>
    <row r="26" spans="2:5" ht="15">
      <c r="B26" s="267" t="s">
        <v>72</v>
      </c>
      <c r="E26" s="267" t="s">
        <v>153</v>
      </c>
    </row>
    <row r="27" spans="3:6" ht="12.75">
      <c r="C27" s="284"/>
      <c r="F27" s="284"/>
    </row>
    <row r="28" spans="3:6" ht="12.75">
      <c r="C28" s="284"/>
      <c r="F28" s="284"/>
    </row>
    <row r="29" spans="3:6" ht="12.75">
      <c r="C29" s="284"/>
      <c r="F29" s="284"/>
    </row>
    <row r="30" spans="3:6" ht="12.75">
      <c r="C30" s="284"/>
      <c r="F30" s="284"/>
    </row>
    <row r="31" spans="3:6" ht="12.75">
      <c r="C31" s="284"/>
      <c r="F31" s="284"/>
    </row>
    <row r="32" spans="3:6" ht="12.75">
      <c r="C32" s="284"/>
      <c r="F32" s="284"/>
    </row>
    <row r="33" spans="3:6" ht="12.75">
      <c r="C33" s="284"/>
      <c r="F33" s="284"/>
    </row>
    <row r="35" ht="15">
      <c r="E35" s="267" t="s">
        <v>154</v>
      </c>
    </row>
    <row r="36" ht="12.75">
      <c r="F36" s="284"/>
    </row>
    <row r="37" ht="12.75">
      <c r="F37" s="284"/>
    </row>
    <row r="38" ht="12.75">
      <c r="F38" s="284"/>
    </row>
    <row r="39" ht="12.75">
      <c r="F39" s="284"/>
    </row>
    <row r="40" ht="12.75">
      <c r="F40" s="284"/>
    </row>
    <row r="41" ht="12.75">
      <c r="F41" s="284"/>
    </row>
    <row r="42" ht="12.75">
      <c r="F42" s="284"/>
    </row>
    <row r="43" ht="12.75">
      <c r="F43" s="28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4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45.57421875" style="0" customWidth="1"/>
    <col min="4" max="4" width="4.28125" style="0" customWidth="1"/>
    <col min="5" max="5" width="4.140625" style="0" customWidth="1"/>
    <col min="6" max="6" width="53.57421875" style="0" customWidth="1"/>
    <col min="7" max="7" width="12.421875" style="0" customWidth="1"/>
  </cols>
  <sheetData>
    <row r="1" ht="17.25">
      <c r="A1" s="283" t="s">
        <v>155</v>
      </c>
    </row>
    <row r="2" ht="12.75">
      <c r="C2" t="s">
        <v>150</v>
      </c>
    </row>
    <row r="3" spans="2:5" ht="15">
      <c r="B3" s="267" t="s">
        <v>148</v>
      </c>
      <c r="E3" s="267" t="s">
        <v>162</v>
      </c>
    </row>
    <row r="4" spans="2:6" ht="12.75">
      <c r="B4" s="285"/>
      <c r="C4" s="284"/>
      <c r="F4" s="284"/>
    </row>
    <row r="5" spans="2:6" ht="12.75">
      <c r="B5" s="285"/>
      <c r="C5" s="284"/>
      <c r="F5" s="284"/>
    </row>
    <row r="6" spans="2:6" ht="12.75">
      <c r="B6" s="285"/>
      <c r="C6" s="284"/>
      <c r="F6" s="284"/>
    </row>
    <row r="7" spans="2:6" ht="12.75">
      <c r="B7" s="285"/>
      <c r="C7" s="284"/>
      <c r="F7" s="284"/>
    </row>
    <row r="8" spans="2:6" ht="12.75">
      <c r="B8" s="285"/>
      <c r="C8" s="284"/>
      <c r="F8" s="284"/>
    </row>
    <row r="10" spans="2:5" ht="15">
      <c r="B10" s="267" t="s">
        <v>161</v>
      </c>
      <c r="E10" s="267" t="s">
        <v>163</v>
      </c>
    </row>
    <row r="11" spans="3:6" ht="12.75">
      <c r="C11" s="284"/>
      <c r="F11" s="284"/>
    </row>
    <row r="12" spans="3:6" ht="12.75">
      <c r="C12" s="284"/>
      <c r="F12" s="284"/>
    </row>
    <row r="13" spans="3:6" ht="12.75">
      <c r="C13" s="284"/>
      <c r="F13" s="284"/>
    </row>
    <row r="14" spans="3:6" ht="12.75">
      <c r="C14" s="284"/>
      <c r="F14" s="284"/>
    </row>
    <row r="15" spans="3:6" ht="12.75">
      <c r="C15" s="284"/>
      <c r="F15" s="284"/>
    </row>
    <row r="16" spans="3:6" ht="12.75">
      <c r="C16" s="284"/>
      <c r="F16" s="284"/>
    </row>
    <row r="18" spans="2:5" ht="15">
      <c r="B18" s="267" t="s">
        <v>157</v>
      </c>
      <c r="E18" s="267" t="s">
        <v>158</v>
      </c>
    </row>
    <row r="19" spans="3:6" ht="12.75">
      <c r="C19" s="284"/>
      <c r="F19" s="284"/>
    </row>
    <row r="20" spans="3:6" ht="12.75">
      <c r="C20" s="284"/>
      <c r="F20" s="284"/>
    </row>
    <row r="21" spans="3:6" ht="12.75">
      <c r="C21" s="284"/>
      <c r="F21" s="284"/>
    </row>
    <row r="22" spans="3:6" ht="12.75">
      <c r="C22" s="284"/>
      <c r="F22" s="284"/>
    </row>
    <row r="23" spans="3:6" ht="12.75">
      <c r="C23" s="284"/>
      <c r="F23" s="284"/>
    </row>
    <row r="24" spans="3:6" ht="12.75">
      <c r="C24" s="284"/>
      <c r="F24" s="284"/>
    </row>
    <row r="26" spans="1:5" ht="15">
      <c r="A26" s="267"/>
      <c r="B26" s="267" t="s">
        <v>122</v>
      </c>
      <c r="E26" s="267" t="s">
        <v>159</v>
      </c>
    </row>
    <row r="27" spans="3:6" ht="12.75">
      <c r="C27" s="284"/>
      <c r="F27" s="284"/>
    </row>
    <row r="28" spans="3:6" ht="12.75">
      <c r="C28" s="284"/>
      <c r="F28" s="284"/>
    </row>
    <row r="29" spans="3:6" ht="12.75">
      <c r="C29" s="284"/>
      <c r="F29" s="284"/>
    </row>
    <row r="30" spans="3:6" ht="12.75">
      <c r="C30" s="284"/>
      <c r="F30" s="284"/>
    </row>
    <row r="31" spans="3:6" ht="12.75">
      <c r="C31" s="284"/>
      <c r="F31" s="284"/>
    </row>
    <row r="32" spans="3:6" ht="12.75">
      <c r="C32" s="284"/>
      <c r="F32" s="284"/>
    </row>
    <row r="33" spans="3:6" ht="12.75">
      <c r="C33" s="284"/>
      <c r="F33" s="284"/>
    </row>
    <row r="35" spans="2:5" ht="15">
      <c r="B35" s="267" t="s">
        <v>160</v>
      </c>
      <c r="E35" s="267" t="s">
        <v>164</v>
      </c>
    </row>
    <row r="36" spans="3:6" ht="12.75">
      <c r="C36" s="284"/>
      <c r="F36" s="284"/>
    </row>
    <row r="37" spans="3:6" ht="12.75">
      <c r="C37" s="284"/>
      <c r="F37" s="284"/>
    </row>
    <row r="38" spans="3:6" ht="12.75">
      <c r="C38" s="284"/>
      <c r="F38" s="284"/>
    </row>
    <row r="39" spans="3:6" ht="12.75">
      <c r="C39" s="284"/>
      <c r="F39" s="284"/>
    </row>
    <row r="40" spans="3:6" ht="12.75">
      <c r="C40" s="284"/>
      <c r="F40" s="284"/>
    </row>
    <row r="41" spans="3:6" ht="12.75">
      <c r="C41" s="284"/>
      <c r="F41" s="284"/>
    </row>
    <row r="42" spans="3:6" ht="12.75">
      <c r="C42" s="284"/>
      <c r="F42" s="284"/>
    </row>
    <row r="43" ht="12.75">
      <c r="F43" s="28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Carr</dc:creator>
  <cp:keywords/>
  <dc:description/>
  <cp:lastModifiedBy>Laura</cp:lastModifiedBy>
  <cp:lastPrinted>2004-12-08T15:02:39Z</cp:lastPrinted>
  <dcterms:created xsi:type="dcterms:W3CDTF">2004-03-01T01:31:30Z</dcterms:created>
  <dcterms:modified xsi:type="dcterms:W3CDTF">2017-03-10T15:32:43Z</dcterms:modified>
  <cp:category/>
  <cp:version/>
  <cp:contentType/>
  <cp:contentStatus/>
</cp:coreProperties>
</file>