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588" activeTab="0"/>
  </bookViews>
  <sheets>
    <sheet name="Refinance" sheetId="1" r:id="rId1"/>
    <sheet name="Closing Costs" sheetId="2" r:id="rId2"/>
    <sheet name="Old Loan" sheetId="3" r:id="rId3"/>
    <sheet name="New Loan" sheetId="4" r:id="rId4"/>
    <sheet name="Cross-Check" sheetId="5" r:id="rId5"/>
  </sheets>
  <externalReferences>
    <externalReference r:id="rId8"/>
  </externalReferences>
  <definedNames>
    <definedName name="Interest1">'Refinance'!$C$22</definedName>
    <definedName name="Interest2">'Refinance'!$C$39</definedName>
    <definedName name="Interest6">'[1]Long Decal'!#REF!</definedName>
    <definedName name="MoPmt" localSheetId="3">'New Loan'!$C$11:$C$370</definedName>
    <definedName name="MoPmt">'Old Loan'!$C$11:$C$370</definedName>
    <definedName name="NewLoan">'New Loan'!$A$11:$L$370</definedName>
    <definedName name="NPV1">'Refinance'!$A$32</definedName>
    <definedName name="NPV2">'Refinance'!$A$49</definedName>
    <definedName name="NPV6">'[1]Long Decal'!#REF!</definedName>
    <definedName name="OldLoan">'Old Loan'!$A$11:$L$370</definedName>
    <definedName name="_xlnm.Print_Titles" localSheetId="3">'New Loan'!$9:$10</definedName>
    <definedName name="_xlnm.Print_Titles" localSheetId="2">'Old Loan'!$9:$10</definedName>
  </definedNames>
  <calcPr fullCalcOnLoad="1"/>
</workbook>
</file>

<file path=xl/sharedStrings.xml><?xml version="1.0" encoding="utf-8"?>
<sst xmlns="http://schemas.openxmlformats.org/spreadsheetml/2006/main" count="151" uniqueCount="90">
  <si>
    <t>Refinance</t>
  </si>
  <si>
    <t>First, fill in the old and new loans on separate sheets.</t>
  </si>
  <si>
    <t>Date of Refinance:</t>
  </si>
  <si>
    <t>Final Date for comparison:</t>
  </si>
  <si>
    <t>Actual</t>
  </si>
  <si>
    <t>Present Value</t>
  </si>
  <si>
    <t>Old Loan</t>
  </si>
  <si>
    <t>New Loan</t>
  </si>
  <si>
    <t xml:space="preserve">Payoff at </t>
  </si>
  <si>
    <t>Start at</t>
  </si>
  <si>
    <t>Ending Balance at</t>
  </si>
  <si>
    <t>Loan Payments:</t>
  </si>
  <si>
    <t>Tax Deduction of Interest:</t>
  </si>
  <si>
    <t>Closing Costs (See sheet):</t>
  </si>
  <si>
    <t>Present value advantage of refinance:</t>
  </si>
  <si>
    <t>(or additional closing costs still worthwhile)</t>
  </si>
  <si>
    <t>Closing Costs</t>
  </si>
  <si>
    <t>At</t>
  </si>
  <si>
    <t>discount:</t>
  </si>
  <si>
    <t>Amount Borrowed:</t>
  </si>
  <si>
    <t>Loan Interest Rate (%):</t>
  </si>
  <si>
    <t>PV of payments:</t>
  </si>
  <si>
    <t>Years of Loan:</t>
  </si>
  <si>
    <t>Discount Rate (%, post-tax):</t>
  </si>
  <si>
    <t>- (amount borrowed):</t>
  </si>
  <si>
    <t>Month of Pmt:</t>
  </si>
  <si>
    <t>Marginal Tax Rate (%):</t>
  </si>
  <si>
    <t>Net pre-tax cost (PV):</t>
  </si>
  <si>
    <t>Day of Pmt:</t>
  </si>
  <si>
    <t>CTRL-h Hide blank rows</t>
  </si>
  <si>
    <t>Year 1st Pmt:</t>
  </si>
  <si>
    <t>CTRL-i  Unhide blank rows</t>
  </si>
  <si>
    <t>PV of interest tax deduct:</t>
  </si>
  <si>
    <t>Tax Deduct</t>
  </si>
  <si>
    <t>Accumulated</t>
  </si>
  <si>
    <t>Date</t>
  </si>
  <si>
    <t>Period</t>
  </si>
  <si>
    <t>Payment</t>
  </si>
  <si>
    <t>Interest</t>
  </si>
  <si>
    <t>Princ</t>
  </si>
  <si>
    <t>Balance</t>
  </si>
  <si>
    <t>of Interest</t>
  </si>
  <si>
    <t>PV of Pmt</t>
  </si>
  <si>
    <t>PV Tax</t>
  </si>
  <si>
    <t>Totals:</t>
  </si>
  <si>
    <t xml:space="preserve"> Minimum % Return:</t>
  </si>
  <si>
    <t>Periods/Yr:</t>
  </si>
  <si>
    <t>Effective =&gt;</t>
  </si>
  <si>
    <t>Item</t>
  </si>
  <si>
    <t>First</t>
  </si>
  <si>
    <t>Last</t>
  </si>
  <si>
    <t>Dollars</t>
  </si>
  <si>
    <t>PV Rec.</t>
  </si>
  <si>
    <t>PV Exp.</t>
  </si>
  <si>
    <t>Cash</t>
  </si>
  <si>
    <t>Net PV</t>
  </si>
  <si>
    <t>Net AV</t>
  </si>
  <si>
    <t>Net FV</t>
  </si>
  <si>
    <t>B/C Ratio</t>
  </si>
  <si>
    <t>Net Cash</t>
  </si>
  <si>
    <t/>
  </si>
  <si>
    <t>Monthly Payments</t>
  </si>
  <si>
    <t>Current Mortgage</t>
  </si>
  <si>
    <t>Refinanced Mortgage</t>
  </si>
  <si>
    <t>Refinance Comparison</t>
  </si>
  <si>
    <t>Summary:</t>
  </si>
  <si>
    <t>Refinance Advantage:</t>
  </si>
  <si>
    <t>Income Tax Deducts</t>
  </si>
  <si>
    <t>Advantage</t>
  </si>
  <si>
    <t>Total</t>
  </si>
  <si>
    <t>Break-even maximum closing costs:</t>
  </si>
  <si>
    <t xml:space="preserve">NPV Cost </t>
  </si>
  <si>
    <t>Loan Initiation</t>
  </si>
  <si>
    <t>Title Search</t>
  </si>
  <si>
    <t>Lawyer Title Insurance</t>
  </si>
  <si>
    <t>Survey</t>
  </si>
  <si>
    <t>Appraisal</t>
  </si>
  <si>
    <t>Recording Fees</t>
  </si>
  <si>
    <t>Flood Certificate</t>
  </si>
  <si>
    <t>Tax Service fee</t>
  </si>
  <si>
    <t>Underwriting fee</t>
  </si>
  <si>
    <t>Enter old loan and new loan first</t>
  </si>
  <si>
    <t>Make sure tax rates match and dates are OK</t>
  </si>
  <si>
    <t>Old Payoff</t>
  </si>
  <si>
    <t>Borrow on Refinance</t>
  </si>
  <si>
    <t>If you borrow more than you owe, the cost goes up</t>
  </si>
  <si>
    <t>Original Monthly Loan Amortization</t>
  </si>
  <si>
    <t>New Refinanced Monthly Loan Amortization</t>
  </si>
  <si>
    <t xml:space="preserve">  (based on difference in pmts)</t>
  </si>
  <si>
    <t>Be sure to enable macros - See Security warning below menu bar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</si>
</sst>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;;;"/>
    <numFmt numFmtId="168" formatCode="dd\-mmm\-yy_)"/>
    <numFmt numFmtId="169" formatCode="0.0"/>
    <numFmt numFmtId="170" formatCode="0.0000"/>
    <numFmt numFmtId="171" formatCode="0.000"/>
    <numFmt numFmtId="172" formatCode="0.0_)"/>
    <numFmt numFmtId="173" formatCode="_(* #,##0.0_);_(* \(#,##0.0\);_(* &quot;-&quot;??_);_(@_)"/>
    <numFmt numFmtId="174" formatCode="_(* #,##0_);_(* \(#,##0\);_(* &quot;-&quot;??_);_(@_)"/>
    <numFmt numFmtId="175" formatCode="0.0%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Courier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99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166" fontId="0" fillId="0" borderId="10" xfId="0" applyNumberFormat="1" applyBorder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165" fontId="0" fillId="0" borderId="0" xfId="0" applyNumberFormat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4" fontId="0" fillId="0" borderId="13" xfId="42" applyNumberFormat="1" applyFont="1" applyBorder="1" applyAlignment="1">
      <alignment/>
    </xf>
    <xf numFmtId="0" fontId="0" fillId="0" borderId="0" xfId="0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43" fontId="0" fillId="0" borderId="0" xfId="42" applyFont="1" applyAlignment="1" applyProtection="1">
      <alignment/>
      <protection/>
    </xf>
    <xf numFmtId="43" fontId="0" fillId="0" borderId="0" xfId="42" applyFont="1" applyBorder="1" applyAlignment="1" applyProtection="1">
      <alignment/>
      <protection/>
    </xf>
    <xf numFmtId="43" fontId="0" fillId="0" borderId="10" xfId="42" applyFont="1" applyBorder="1" applyAlignment="1" applyProtection="1">
      <alignment/>
      <protection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applyProtection="1">
      <alignment/>
      <protection/>
    </xf>
    <xf numFmtId="174" fontId="0" fillId="0" borderId="0" xfId="42" applyNumberFormat="1" applyFont="1" applyBorder="1" applyAlignment="1" applyProtection="1">
      <alignment/>
      <protection/>
    </xf>
    <xf numFmtId="174" fontId="0" fillId="0" borderId="0" xfId="42" applyNumberFormat="1" applyFont="1" applyBorder="1" applyAlignment="1">
      <alignment/>
    </xf>
    <xf numFmtId="174" fontId="0" fillId="0" borderId="10" xfId="42" applyNumberFormat="1" applyFont="1" applyBorder="1" applyAlignment="1">
      <alignment/>
    </xf>
    <xf numFmtId="174" fontId="0" fillId="0" borderId="10" xfId="42" applyNumberFormat="1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4" fontId="0" fillId="0" borderId="16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right"/>
    </xf>
    <xf numFmtId="10" fontId="0" fillId="0" borderId="18" xfId="58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 quotePrefix="1">
      <alignment/>
    </xf>
    <xf numFmtId="0" fontId="0" fillId="0" borderId="10" xfId="0" applyBorder="1" applyAlignment="1">
      <alignment/>
    </xf>
    <xf numFmtId="174" fontId="0" fillId="0" borderId="21" xfId="42" applyNumberFormat="1" applyFont="1" applyBorder="1" applyAlignment="1">
      <alignment/>
    </xf>
    <xf numFmtId="174" fontId="0" fillId="0" borderId="16" xfId="42" applyNumberFormat="1" applyBorder="1" applyAlignment="1">
      <alignment/>
    </xf>
    <xf numFmtId="174" fontId="0" fillId="0" borderId="21" xfId="42" applyNumberFormat="1" applyBorder="1" applyAlignment="1">
      <alignment/>
    </xf>
    <xf numFmtId="174" fontId="0" fillId="0" borderId="13" xfId="42" applyNumberFormat="1" applyBorder="1" applyAlignment="1">
      <alignment/>
    </xf>
    <xf numFmtId="43" fontId="0" fillId="0" borderId="0" xfId="42" applyAlignment="1" applyProtection="1">
      <alignment/>
      <protection/>
    </xf>
    <xf numFmtId="174" fontId="0" fillId="0" borderId="0" xfId="42" applyNumberFormat="1" applyAlignment="1">
      <alignment/>
    </xf>
    <xf numFmtId="174" fontId="0" fillId="0" borderId="0" xfId="42" applyNumberFormat="1" applyAlignment="1" applyProtection="1">
      <alignment/>
      <protection/>
    </xf>
    <xf numFmtId="43" fontId="0" fillId="0" borderId="0" xfId="42" applyBorder="1" applyAlignment="1" applyProtection="1">
      <alignment/>
      <protection/>
    </xf>
    <xf numFmtId="174" fontId="0" fillId="0" borderId="0" xfId="42" applyNumberFormat="1" applyBorder="1" applyAlignment="1" applyProtection="1">
      <alignment/>
      <protection/>
    </xf>
    <xf numFmtId="174" fontId="0" fillId="0" borderId="0" xfId="42" applyNumberFormat="1" applyBorder="1" applyAlignment="1">
      <alignment/>
    </xf>
    <xf numFmtId="43" fontId="0" fillId="0" borderId="10" xfId="42" applyBorder="1" applyAlignment="1" applyProtection="1">
      <alignment/>
      <protection/>
    </xf>
    <xf numFmtId="174" fontId="0" fillId="0" borderId="10" xfId="42" applyNumberFormat="1" applyBorder="1" applyAlignment="1">
      <alignment/>
    </xf>
    <xf numFmtId="174" fontId="0" fillId="0" borderId="10" xfId="42" applyNumberFormat="1" applyBorder="1" applyAlignment="1" applyProtection="1">
      <alignment/>
      <protection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14" fontId="4" fillId="0" borderId="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11" fillId="0" borderId="0" xfId="55" applyFont="1">
      <alignment/>
      <protection/>
    </xf>
    <xf numFmtId="0" fontId="0" fillId="0" borderId="0" xfId="55" applyFont="1">
      <alignment/>
      <protection/>
    </xf>
    <xf numFmtId="0" fontId="4" fillId="0" borderId="0" xfId="55" applyFont="1" applyAlignment="1" applyProtection="1">
      <alignment horizontal="fill"/>
      <protection locked="0"/>
    </xf>
    <xf numFmtId="37" fontId="0" fillId="0" borderId="0" xfId="55" applyNumberFormat="1" applyFont="1" applyBorder="1" applyProtection="1">
      <alignment/>
      <protection/>
    </xf>
    <xf numFmtId="37" fontId="0" fillId="0" borderId="0" xfId="55" applyNumberFormat="1" applyFont="1" applyBorder="1" applyAlignment="1" applyProtection="1">
      <alignment horizontal="left"/>
      <protection/>
    </xf>
    <xf numFmtId="166" fontId="0" fillId="0" borderId="0" xfId="55" applyNumberFormat="1" applyFont="1" applyBorder="1" applyProtection="1">
      <alignment/>
      <protection/>
    </xf>
    <xf numFmtId="0" fontId="12" fillId="0" borderId="0" xfId="55" applyFont="1">
      <alignment/>
      <protection/>
    </xf>
    <xf numFmtId="0" fontId="1" fillId="0" borderId="0" xfId="55" applyFont="1">
      <alignment/>
      <protection/>
    </xf>
    <xf numFmtId="0" fontId="0" fillId="0" borderId="0" xfId="55" applyFont="1" applyAlignment="1">
      <alignment horizontal="right"/>
      <protection/>
    </xf>
    <xf numFmtId="0" fontId="0" fillId="0" borderId="22" xfId="0" applyBorder="1" applyAlignment="1">
      <alignment horizontal="right"/>
    </xf>
    <xf numFmtId="0" fontId="0" fillId="0" borderId="14" xfId="0" applyBorder="1" applyAlignment="1">
      <alignment horizontal="right"/>
    </xf>
    <xf numFmtId="174" fontId="0" fillId="0" borderId="23" xfId="42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74" fontId="0" fillId="0" borderId="24" xfId="42" applyNumberFormat="1" applyFont="1" applyBorder="1" applyAlignment="1">
      <alignment/>
    </xf>
    <xf numFmtId="43" fontId="0" fillId="0" borderId="23" xfId="0" applyNumberFormat="1" applyBorder="1" applyAlignment="1">
      <alignment/>
    </xf>
    <xf numFmtId="43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10" fontId="0" fillId="0" borderId="25" xfId="58" applyNumberFormat="1" applyFont="1" applyBorder="1" applyAlignment="1">
      <alignment/>
    </xf>
    <xf numFmtId="10" fontId="0" fillId="0" borderId="26" xfId="58" applyNumberFormat="1" applyFont="1" applyBorder="1" applyAlignment="1">
      <alignment/>
    </xf>
    <xf numFmtId="0" fontId="0" fillId="33" borderId="27" xfId="55" applyFont="1" applyFill="1" applyBorder="1">
      <alignment/>
      <protection/>
    </xf>
    <xf numFmtId="0" fontId="0" fillId="33" borderId="28" xfId="55" applyFont="1" applyFill="1" applyBorder="1">
      <alignment/>
      <protection/>
    </xf>
    <xf numFmtId="0" fontId="0" fillId="33" borderId="22" xfId="55" applyFont="1" applyFill="1" applyBorder="1">
      <alignment/>
      <protection/>
    </xf>
    <xf numFmtId="0" fontId="0" fillId="33" borderId="10" xfId="55" applyFont="1" applyFill="1" applyBorder="1">
      <alignment/>
      <protection/>
    </xf>
    <xf numFmtId="0" fontId="0" fillId="34" borderId="12" xfId="55" applyFont="1" applyFill="1" applyBorder="1" applyAlignment="1" applyProtection="1">
      <alignment horizontal="fill"/>
      <protection/>
    </xf>
    <xf numFmtId="37" fontId="0" fillId="34" borderId="12" xfId="55" applyNumberFormat="1" applyFont="1" applyFill="1" applyBorder="1" applyAlignment="1" applyProtection="1">
      <alignment horizontal="fill"/>
      <protection/>
    </xf>
    <xf numFmtId="0" fontId="1" fillId="34" borderId="12" xfId="55" applyFont="1" applyFill="1" applyBorder="1" applyAlignment="1" applyProtection="1">
      <alignment horizontal="right"/>
      <protection/>
    </xf>
    <xf numFmtId="37" fontId="1" fillId="34" borderId="12" xfId="55" applyNumberFormat="1" applyFont="1" applyFill="1" applyBorder="1" applyAlignment="1" applyProtection="1">
      <alignment horizontal="right"/>
      <protection/>
    </xf>
    <xf numFmtId="0" fontId="1" fillId="34" borderId="12" xfId="55" applyFont="1" applyFill="1" applyBorder="1">
      <alignment/>
      <protection/>
    </xf>
    <xf numFmtId="0" fontId="4" fillId="34" borderId="12" xfId="55" applyFont="1" applyFill="1" applyBorder="1" applyProtection="1">
      <alignment/>
      <protection locked="0"/>
    </xf>
    <xf numFmtId="174" fontId="4" fillId="34" borderId="12" xfId="42" applyNumberFormat="1" applyFont="1" applyFill="1" applyBorder="1" applyAlignment="1" applyProtection="1">
      <alignment/>
      <protection locked="0"/>
    </xf>
    <xf numFmtId="3" fontId="0" fillId="34" borderId="12" xfId="55" applyNumberFormat="1" applyFont="1" applyFill="1" applyBorder="1" applyProtection="1">
      <alignment/>
      <protection/>
    </xf>
    <xf numFmtId="0" fontId="0" fillId="33" borderId="29" xfId="55" applyFont="1" applyFill="1" applyBorder="1">
      <alignment/>
      <protection/>
    </xf>
    <xf numFmtId="0" fontId="13" fillId="33" borderId="23" xfId="55" applyFont="1" applyFill="1" applyBorder="1" applyAlignment="1">
      <alignment horizontal="right"/>
      <protection/>
    </xf>
    <xf numFmtId="0" fontId="0" fillId="33" borderId="0" xfId="55" applyFont="1" applyFill="1" applyBorder="1">
      <alignment/>
      <protection/>
    </xf>
    <xf numFmtId="0" fontId="0" fillId="33" borderId="24" xfId="55" applyFont="1" applyFill="1" applyBorder="1">
      <alignment/>
      <protection/>
    </xf>
    <xf numFmtId="0" fontId="0" fillId="33" borderId="23" xfId="55" applyFont="1" applyFill="1" applyBorder="1">
      <alignment/>
      <protection/>
    </xf>
    <xf numFmtId="0" fontId="1" fillId="33" borderId="0" xfId="55" applyFont="1" applyFill="1" applyBorder="1">
      <alignment/>
      <protection/>
    </xf>
    <xf numFmtId="174" fontId="0" fillId="33" borderId="10" xfId="55" applyNumberFormat="1" applyFont="1" applyFill="1" applyBorder="1">
      <alignment/>
      <protection/>
    </xf>
    <xf numFmtId="0" fontId="0" fillId="33" borderId="14" xfId="55" applyFont="1" applyFill="1" applyBorder="1">
      <alignment/>
      <protection/>
    </xf>
    <xf numFmtId="0" fontId="9" fillId="34" borderId="27" xfId="55" applyFont="1" applyFill="1" applyBorder="1" applyAlignment="1" applyProtection="1">
      <alignment horizontal="left"/>
      <protection locked="0"/>
    </xf>
    <xf numFmtId="0" fontId="10" fillId="34" borderId="28" xfId="55" applyFont="1" applyFill="1" applyBorder="1">
      <alignment/>
      <protection/>
    </xf>
    <xf numFmtId="37" fontId="10" fillId="34" borderId="28" xfId="55" applyNumberFormat="1" applyFont="1" applyFill="1" applyBorder="1" applyAlignment="1" applyProtection="1">
      <alignment horizontal="left"/>
      <protection locked="0"/>
    </xf>
    <xf numFmtId="0" fontId="9" fillId="34" borderId="29" xfId="55" applyFont="1" applyFill="1" applyBorder="1" applyAlignment="1">
      <alignment horizontal="right"/>
      <protection/>
    </xf>
    <xf numFmtId="0" fontId="0" fillId="34" borderId="23" xfId="55" applyFont="1" applyFill="1" applyBorder="1">
      <alignment/>
      <protection/>
    </xf>
    <xf numFmtId="0" fontId="0" fillId="34" borderId="0" xfId="55" applyFont="1" applyFill="1" applyBorder="1">
      <alignment/>
      <protection/>
    </xf>
    <xf numFmtId="0" fontId="0" fillId="34" borderId="0" xfId="55" applyFont="1" applyFill="1" applyBorder="1" applyAlignment="1" applyProtection="1">
      <alignment horizontal="center"/>
      <protection/>
    </xf>
    <xf numFmtId="0" fontId="0" fillId="34" borderId="24" xfId="55" applyFont="1" applyFill="1" applyBorder="1">
      <alignment/>
      <protection/>
    </xf>
    <xf numFmtId="0" fontId="1" fillId="34" borderId="23" xfId="55" applyFont="1" applyFill="1" applyBorder="1">
      <alignment/>
      <protection/>
    </xf>
    <xf numFmtId="0" fontId="0" fillId="34" borderId="0" xfId="55" applyFont="1" applyFill="1" applyBorder="1" applyAlignment="1" applyProtection="1">
      <alignment horizontal="right"/>
      <protection/>
    </xf>
    <xf numFmtId="166" fontId="4" fillId="34" borderId="0" xfId="55" applyNumberFormat="1" applyFont="1" applyFill="1" applyBorder="1" applyAlignment="1" applyProtection="1">
      <alignment horizontal="center"/>
      <protection locked="0"/>
    </xf>
    <xf numFmtId="37" fontId="0" fillId="34" borderId="0" xfId="55" applyNumberFormat="1" applyFont="1" applyFill="1" applyBorder="1" applyAlignment="1" applyProtection="1">
      <alignment horizontal="left"/>
      <protection/>
    </xf>
    <xf numFmtId="37" fontId="0" fillId="34" borderId="0" xfId="55" applyNumberFormat="1" applyFont="1" applyFill="1" applyBorder="1" applyProtection="1">
      <alignment/>
      <protection/>
    </xf>
    <xf numFmtId="165" fontId="4" fillId="34" borderId="0" xfId="55" applyNumberFormat="1" applyFont="1" applyFill="1" applyBorder="1" applyAlignment="1" applyProtection="1">
      <alignment horizontal="center"/>
      <protection locked="0"/>
    </xf>
    <xf numFmtId="10" fontId="0" fillId="34" borderId="0" xfId="55" applyNumberFormat="1" applyFont="1" applyFill="1" applyBorder="1" applyAlignment="1" applyProtection="1">
      <alignment horizontal="right"/>
      <protection/>
    </xf>
    <xf numFmtId="10" fontId="0" fillId="34" borderId="24" xfId="55" applyNumberFormat="1" applyFont="1" applyFill="1" applyBorder="1" applyAlignment="1" applyProtection="1">
      <alignment horizontal="center"/>
      <protection/>
    </xf>
    <xf numFmtId="0" fontId="0" fillId="34" borderId="30" xfId="55" applyFont="1" applyFill="1" applyBorder="1" applyAlignment="1" applyProtection="1">
      <alignment horizontal="fill"/>
      <protection/>
    </xf>
    <xf numFmtId="37" fontId="0" fillId="34" borderId="31" xfId="55" applyNumberFormat="1" applyFont="1" applyFill="1" applyBorder="1" applyAlignment="1" applyProtection="1">
      <alignment horizontal="fill"/>
      <protection/>
    </xf>
    <xf numFmtId="0" fontId="1" fillId="34" borderId="30" xfId="55" applyFont="1" applyFill="1" applyBorder="1" applyAlignment="1" applyProtection="1">
      <alignment horizontal="left"/>
      <protection/>
    </xf>
    <xf numFmtId="37" fontId="1" fillId="34" borderId="31" xfId="55" applyNumberFormat="1" applyFont="1" applyFill="1" applyBorder="1" applyAlignment="1" applyProtection="1">
      <alignment horizontal="right"/>
      <protection/>
    </xf>
    <xf numFmtId="0" fontId="0" fillId="34" borderId="23" xfId="55" applyFont="1" applyFill="1" applyBorder="1" applyAlignment="1" applyProtection="1">
      <alignment horizontal="left"/>
      <protection locked="0"/>
    </xf>
    <xf numFmtId="0" fontId="0" fillId="34" borderId="0" xfId="55" applyFont="1" applyFill="1" applyBorder="1" applyProtection="1">
      <alignment/>
      <protection locked="0"/>
    </xf>
    <xf numFmtId="0" fontId="0" fillId="34" borderId="0" xfId="55" applyFont="1" applyFill="1" applyBorder="1" applyAlignment="1" applyProtection="1">
      <alignment/>
      <protection locked="0"/>
    </xf>
    <xf numFmtId="174" fontId="0" fillId="34" borderId="0" xfId="42" applyNumberFormat="1" applyFont="1" applyFill="1" applyBorder="1" applyAlignment="1" applyProtection="1">
      <alignment/>
      <protection locked="0"/>
    </xf>
    <xf numFmtId="3" fontId="0" fillId="34" borderId="0" xfId="55" applyNumberFormat="1" applyFont="1" applyFill="1" applyBorder="1" applyProtection="1">
      <alignment/>
      <protection/>
    </xf>
    <xf numFmtId="3" fontId="0" fillId="34" borderId="24" xfId="55" applyNumberFormat="1" applyFont="1" applyFill="1" applyBorder="1" applyProtection="1">
      <alignment/>
      <protection/>
    </xf>
    <xf numFmtId="0" fontId="4" fillId="34" borderId="30" xfId="55" applyFont="1" applyFill="1" applyBorder="1" applyAlignment="1" applyProtection="1">
      <alignment horizontal="left"/>
      <protection locked="0"/>
    </xf>
    <xf numFmtId="3" fontId="0" fillId="34" borderId="31" xfId="55" applyNumberFormat="1" applyFont="1" applyFill="1" applyBorder="1" applyProtection="1">
      <alignment/>
      <protection/>
    </xf>
    <xf numFmtId="0" fontId="1" fillId="34" borderId="23" xfId="55" applyFont="1" applyFill="1" applyBorder="1" applyAlignment="1" applyProtection="1">
      <alignment horizontal="right"/>
      <protection/>
    </xf>
    <xf numFmtId="0" fontId="1" fillId="34" borderId="0" xfId="55" applyFont="1" applyFill="1" applyBorder="1">
      <alignment/>
      <protection/>
    </xf>
    <xf numFmtId="0" fontId="1" fillId="34" borderId="0" xfId="55" applyFont="1" applyFill="1" applyBorder="1" applyAlignment="1" applyProtection="1">
      <alignment horizontal="right"/>
      <protection/>
    </xf>
    <xf numFmtId="37" fontId="1" fillId="34" borderId="0" xfId="55" applyNumberFormat="1" applyFont="1" applyFill="1" applyBorder="1" applyAlignment="1" applyProtection="1">
      <alignment horizontal="right"/>
      <protection/>
    </xf>
    <xf numFmtId="37" fontId="1" fillId="34" borderId="0" xfId="55" applyNumberFormat="1" applyFont="1" applyFill="1" applyBorder="1" applyProtection="1">
      <alignment/>
      <protection/>
    </xf>
    <xf numFmtId="37" fontId="1" fillId="34" borderId="24" xfId="55" applyNumberFormat="1" applyFont="1" applyFill="1" applyBorder="1" applyAlignment="1" applyProtection="1">
      <alignment horizontal="right"/>
      <protection/>
    </xf>
    <xf numFmtId="3" fontId="1" fillId="34" borderId="22" xfId="55" applyNumberFormat="1" applyFont="1" applyFill="1" applyBorder="1" applyProtection="1">
      <alignment/>
      <protection/>
    </xf>
    <xf numFmtId="3" fontId="1" fillId="34" borderId="10" xfId="55" applyNumberFormat="1" applyFont="1" applyFill="1" applyBorder="1" applyAlignment="1" applyProtection="1">
      <alignment horizontal="left"/>
      <protection/>
    </xf>
    <xf numFmtId="3" fontId="1" fillId="34" borderId="10" xfId="55" applyNumberFormat="1" applyFont="1" applyFill="1" applyBorder="1" applyProtection="1">
      <alignment/>
      <protection/>
    </xf>
    <xf numFmtId="4" fontId="1" fillId="34" borderId="10" xfId="55" applyNumberFormat="1" applyFont="1" applyFill="1" applyBorder="1" applyProtection="1">
      <alignment/>
      <protection/>
    </xf>
    <xf numFmtId="3" fontId="1" fillId="34" borderId="14" xfId="55" applyNumberFormat="1" applyFont="1" applyFill="1" applyBorder="1" applyProtection="1">
      <alignment/>
      <protection/>
    </xf>
    <xf numFmtId="0" fontId="0" fillId="33" borderId="10" xfId="55" applyFont="1" applyFill="1" applyBorder="1" applyAlignment="1">
      <alignment horizontal="right"/>
      <protection/>
    </xf>
    <xf numFmtId="0" fontId="0" fillId="33" borderId="32" xfId="0" applyFill="1" applyBorder="1" applyAlignment="1">
      <alignment horizontal="right"/>
    </xf>
    <xf numFmtId="0" fontId="0" fillId="33" borderId="33" xfId="0" applyFill="1" applyBorder="1" applyAlignment="1">
      <alignment horizontal="right"/>
    </xf>
    <xf numFmtId="174" fontId="0" fillId="33" borderId="34" xfId="0" applyNumberFormat="1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35" xfId="0" applyBorder="1" applyAlignment="1">
      <alignment/>
    </xf>
    <xf numFmtId="0" fontId="0" fillId="33" borderId="27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32" xfId="0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0" fillId="33" borderId="24" xfId="0" applyFill="1" applyBorder="1" applyAlignment="1">
      <alignment/>
    </xf>
    <xf numFmtId="174" fontId="0" fillId="33" borderId="14" xfId="42" applyNumberFormat="1" applyFont="1" applyFill="1" applyBorder="1" applyAlignment="1">
      <alignment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>
      <alignment/>
    </xf>
    <xf numFmtId="165" fontId="4" fillId="34" borderId="0" xfId="0" applyNumberFormat="1" applyFont="1" applyFill="1" applyAlignment="1" applyProtection="1">
      <alignment/>
      <protection locked="0"/>
    </xf>
    <xf numFmtId="166" fontId="4" fillId="34" borderId="0" xfId="0" applyNumberFormat="1" applyFont="1" applyFill="1" applyAlignment="1" applyProtection="1">
      <alignment/>
      <protection locked="0"/>
    </xf>
    <xf numFmtId="167" fontId="0" fillId="34" borderId="0" xfId="0" applyNumberFormat="1" applyFill="1" applyAlignment="1" applyProtection="1">
      <alignment/>
      <protection/>
    </xf>
    <xf numFmtId="166" fontId="0" fillId="34" borderId="0" xfId="0" applyNumberFormat="1" applyFill="1" applyAlignment="1" applyProtection="1">
      <alignment horizontal="left"/>
      <protection/>
    </xf>
    <xf numFmtId="166" fontId="4" fillId="34" borderId="0" xfId="0" applyNumberFormat="1" applyFont="1" applyFill="1" applyAlignment="1" applyProtection="1">
      <alignment horizontal="right"/>
      <protection locked="0"/>
    </xf>
    <xf numFmtId="0" fontId="6" fillId="34" borderId="27" xfId="0" applyFont="1" applyFill="1" applyBorder="1" applyAlignment="1">
      <alignment/>
    </xf>
    <xf numFmtId="0" fontId="0" fillId="34" borderId="29" xfId="0" applyFill="1" applyBorder="1" applyAlignment="1">
      <alignment/>
    </xf>
    <xf numFmtId="0" fontId="7" fillId="34" borderId="0" xfId="0" applyNumberFormat="1" applyFont="1" applyFill="1" applyAlignment="1" applyProtection="1">
      <alignment/>
      <protection/>
    </xf>
    <xf numFmtId="0" fontId="6" fillId="34" borderId="22" xfId="0" applyFont="1" applyFill="1" applyBorder="1" applyAlignment="1">
      <alignment/>
    </xf>
    <xf numFmtId="0" fontId="0" fillId="34" borderId="14" xfId="0" applyFill="1" applyBorder="1" applyAlignment="1">
      <alignment/>
    </xf>
    <xf numFmtId="14" fontId="14" fillId="0" borderId="36" xfId="55" applyNumberFormat="1" applyFont="1" applyBorder="1">
      <alignment/>
      <protection/>
    </xf>
    <xf numFmtId="0" fontId="7" fillId="0" borderId="0" xfId="55" applyFont="1" applyBorder="1">
      <alignment/>
      <protection/>
    </xf>
    <xf numFmtId="0" fontId="7" fillId="0" borderId="37" xfId="55" applyFont="1" applyBorder="1">
      <alignment/>
      <protection/>
    </xf>
    <xf numFmtId="0" fontId="7" fillId="0" borderId="38" xfId="55" applyFont="1" applyBorder="1">
      <alignment/>
      <protection/>
    </xf>
    <xf numFmtId="0" fontId="0" fillId="0" borderId="39" xfId="55" applyFont="1" applyBorder="1">
      <alignment/>
      <protection/>
    </xf>
    <xf numFmtId="0" fontId="7" fillId="0" borderId="11" xfId="55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3" xfId="55" applyFont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horizontal="right"/>
      <protection/>
    </xf>
    <xf numFmtId="174" fontId="0" fillId="0" borderId="0" xfId="55" applyNumberFormat="1" applyFont="1" applyFill="1" applyBorder="1">
      <alignment/>
      <protection/>
    </xf>
    <xf numFmtId="14" fontId="14" fillId="0" borderId="0" xfId="55" applyNumberFormat="1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38" xfId="55" applyFont="1" applyBorder="1">
      <alignment/>
      <protection/>
    </xf>
    <xf numFmtId="0" fontId="7" fillId="0" borderId="15" xfId="55" applyFont="1" applyBorder="1">
      <alignment/>
      <protection/>
    </xf>
    <xf numFmtId="0" fontId="0" fillId="0" borderId="16" xfId="55" applyFont="1" applyBorder="1">
      <alignment/>
      <protection/>
    </xf>
    <xf numFmtId="0" fontId="0" fillId="33" borderId="0" xfId="55" applyFont="1" applyFill="1" applyBorder="1" applyAlignment="1">
      <alignment horizontal="right"/>
      <protection/>
    </xf>
    <xf numFmtId="174" fontId="0" fillId="33" borderId="0" xfId="55" applyNumberFormat="1" applyFont="1" applyFill="1" applyBorder="1">
      <alignment/>
      <protection/>
    </xf>
    <xf numFmtId="174" fontId="0" fillId="33" borderId="0" xfId="42" applyNumberFormat="1" applyFont="1" applyFill="1" applyBorder="1" applyAlignment="1">
      <alignment/>
    </xf>
    <xf numFmtId="174" fontId="0" fillId="33" borderId="10" xfId="42" applyNumberFormat="1" applyFont="1" applyFill="1" applyBorder="1" applyAlignment="1">
      <alignment/>
    </xf>
    <xf numFmtId="0" fontId="0" fillId="33" borderId="35" xfId="55" applyFont="1" applyFill="1" applyBorder="1">
      <alignment/>
      <protection/>
    </xf>
    <xf numFmtId="0" fontId="0" fillId="33" borderId="35" xfId="55" applyFont="1" applyFill="1" applyBorder="1" applyAlignment="1">
      <alignment horizontal="right"/>
      <protection/>
    </xf>
    <xf numFmtId="0" fontId="9" fillId="0" borderId="27" xfId="55" applyFont="1" applyFill="1" applyBorder="1" applyAlignment="1" applyProtection="1">
      <alignment horizontal="left"/>
      <protection locked="0"/>
    </xf>
    <xf numFmtId="0" fontId="10" fillId="0" borderId="28" xfId="55" applyFont="1" applyFill="1" applyBorder="1">
      <alignment/>
      <protection/>
    </xf>
    <xf numFmtId="37" fontId="10" fillId="0" borderId="28" xfId="55" applyNumberFormat="1" applyFont="1" applyFill="1" applyBorder="1" applyAlignment="1" applyProtection="1">
      <alignment horizontal="left"/>
      <protection locked="0"/>
    </xf>
    <xf numFmtId="0" fontId="9" fillId="0" borderId="29" xfId="55" applyFont="1" applyFill="1" applyBorder="1" applyAlignment="1">
      <alignment horizontal="right"/>
      <protection/>
    </xf>
    <xf numFmtId="0" fontId="0" fillId="0" borderId="23" xfId="55" applyFont="1" applyFill="1" applyBorder="1">
      <alignment/>
      <protection/>
    </xf>
    <xf numFmtId="0" fontId="0" fillId="0" borderId="0" xfId="55" applyFont="1" applyFill="1" applyBorder="1" applyAlignment="1" applyProtection="1">
      <alignment horizontal="center"/>
      <protection/>
    </xf>
    <xf numFmtId="0" fontId="0" fillId="0" borderId="24" xfId="55" applyFont="1" applyFill="1" applyBorder="1">
      <alignment/>
      <protection/>
    </xf>
    <xf numFmtId="0" fontId="1" fillId="0" borderId="23" xfId="55" applyFont="1" applyFill="1" applyBorder="1">
      <alignment/>
      <protection/>
    </xf>
    <xf numFmtId="0" fontId="0" fillId="0" borderId="0" xfId="55" applyFont="1" applyFill="1" applyBorder="1" applyAlignment="1" applyProtection="1">
      <alignment horizontal="right"/>
      <protection/>
    </xf>
    <xf numFmtId="172" fontId="4" fillId="0" borderId="0" xfId="55" applyNumberFormat="1" applyFont="1" applyFill="1" applyBorder="1" applyAlignment="1" applyProtection="1">
      <alignment horizontal="center"/>
      <protection locked="0"/>
    </xf>
    <xf numFmtId="37" fontId="0" fillId="0" borderId="0" xfId="55" applyNumberFormat="1" applyFont="1" applyFill="1" applyBorder="1" applyAlignment="1" applyProtection="1">
      <alignment horizontal="left"/>
      <protection/>
    </xf>
    <xf numFmtId="37" fontId="0" fillId="0" borderId="0" xfId="55" applyNumberFormat="1" applyFont="1" applyFill="1" applyBorder="1" applyProtection="1">
      <alignment/>
      <protection/>
    </xf>
    <xf numFmtId="165" fontId="4" fillId="0" borderId="0" xfId="55" applyNumberFormat="1" applyFont="1" applyFill="1" applyBorder="1" applyAlignment="1" applyProtection="1">
      <alignment horizontal="center"/>
      <protection locked="0"/>
    </xf>
    <xf numFmtId="10" fontId="0" fillId="0" borderId="0" xfId="55" applyNumberFormat="1" applyFont="1" applyFill="1" applyBorder="1" applyAlignment="1" applyProtection="1">
      <alignment horizontal="right"/>
      <protection/>
    </xf>
    <xf numFmtId="10" fontId="0" fillId="0" borderId="24" xfId="55" applyNumberFormat="1" applyFont="1" applyFill="1" applyBorder="1" applyAlignment="1" applyProtection="1">
      <alignment horizontal="center"/>
      <protection/>
    </xf>
    <xf numFmtId="0" fontId="0" fillId="0" borderId="30" xfId="55" applyFont="1" applyFill="1" applyBorder="1" applyAlignment="1" applyProtection="1">
      <alignment horizontal="fill"/>
      <protection/>
    </xf>
    <xf numFmtId="0" fontId="0" fillId="0" borderId="12" xfId="55" applyFont="1" applyFill="1" applyBorder="1" applyAlignment="1" applyProtection="1">
      <alignment horizontal="fill"/>
      <protection/>
    </xf>
    <xf numFmtId="37" fontId="0" fillId="0" borderId="12" xfId="55" applyNumberFormat="1" applyFont="1" applyFill="1" applyBorder="1" applyAlignment="1" applyProtection="1">
      <alignment horizontal="fill"/>
      <protection/>
    </xf>
    <xf numFmtId="37" fontId="0" fillId="0" borderId="31" xfId="55" applyNumberFormat="1" applyFont="1" applyFill="1" applyBorder="1" applyAlignment="1" applyProtection="1">
      <alignment horizontal="fill"/>
      <protection/>
    </xf>
    <xf numFmtId="0" fontId="1" fillId="0" borderId="30" xfId="55" applyFont="1" applyFill="1" applyBorder="1" applyAlignment="1" applyProtection="1">
      <alignment horizontal="left"/>
      <protection/>
    </xf>
    <xf numFmtId="0" fontId="1" fillId="0" borderId="12" xfId="55" applyFont="1" applyFill="1" applyBorder="1" applyAlignment="1" applyProtection="1">
      <alignment horizontal="right"/>
      <protection/>
    </xf>
    <xf numFmtId="37" fontId="1" fillId="0" borderId="12" xfId="55" applyNumberFormat="1" applyFont="1" applyFill="1" applyBorder="1" applyAlignment="1" applyProtection="1">
      <alignment horizontal="right"/>
      <protection/>
    </xf>
    <xf numFmtId="0" fontId="1" fillId="0" borderId="12" xfId="55" applyFont="1" applyFill="1" applyBorder="1">
      <alignment/>
      <protection/>
    </xf>
    <xf numFmtId="37" fontId="1" fillId="0" borderId="31" xfId="55" applyNumberFormat="1" applyFont="1" applyFill="1" applyBorder="1" applyAlignment="1" applyProtection="1">
      <alignment horizontal="right"/>
      <protection/>
    </xf>
    <xf numFmtId="0" fontId="0" fillId="0" borderId="23" xfId="55" applyFont="1" applyFill="1" applyBorder="1" applyAlignment="1" applyProtection="1">
      <alignment horizontal="left"/>
      <protection locked="0"/>
    </xf>
    <xf numFmtId="0" fontId="0" fillId="0" borderId="0" xfId="55" applyFont="1" applyFill="1" applyBorder="1" applyProtection="1">
      <alignment/>
      <protection locked="0"/>
    </xf>
    <xf numFmtId="1" fontId="0" fillId="0" borderId="0" xfId="55" applyNumberFormat="1" applyFont="1" applyFill="1" applyBorder="1" applyAlignment="1" applyProtection="1">
      <alignment/>
      <protection locked="0"/>
    </xf>
    <xf numFmtId="174" fontId="0" fillId="0" borderId="0" xfId="42" applyNumberFormat="1" applyFont="1" applyFill="1" applyBorder="1" applyAlignment="1" applyProtection="1">
      <alignment/>
      <protection locked="0"/>
    </xf>
    <xf numFmtId="3" fontId="0" fillId="0" borderId="0" xfId="55" applyNumberFormat="1" applyFont="1" applyFill="1" applyBorder="1" applyProtection="1">
      <alignment/>
      <protection/>
    </xf>
    <xf numFmtId="3" fontId="0" fillId="0" borderId="24" xfId="55" applyNumberFormat="1" applyFont="1" applyFill="1" applyBorder="1" applyProtection="1">
      <alignment/>
      <protection/>
    </xf>
    <xf numFmtId="0" fontId="4" fillId="0" borderId="23" xfId="55" applyFont="1" applyFill="1" applyBorder="1" applyAlignment="1" applyProtection="1">
      <alignment horizontal="left"/>
      <protection locked="0"/>
    </xf>
    <xf numFmtId="0" fontId="4" fillId="0" borderId="0" xfId="55" applyFont="1" applyFill="1" applyBorder="1" applyProtection="1">
      <alignment/>
      <protection locked="0"/>
    </xf>
    <xf numFmtId="174" fontId="0" fillId="0" borderId="0" xfId="42" applyNumberFormat="1" applyFont="1" applyFill="1" applyBorder="1" applyAlignment="1">
      <alignment/>
    </xf>
    <xf numFmtId="174" fontId="4" fillId="0" borderId="0" xfId="42" applyNumberFormat="1" applyFont="1" applyFill="1" applyBorder="1" applyAlignment="1" applyProtection="1">
      <alignment/>
      <protection locked="0"/>
    </xf>
    <xf numFmtId="0" fontId="4" fillId="0" borderId="30" xfId="55" applyFont="1" applyFill="1" applyBorder="1" applyAlignment="1" applyProtection="1">
      <alignment horizontal="left"/>
      <protection locked="0"/>
    </xf>
    <xf numFmtId="0" fontId="4" fillId="0" borderId="12" xfId="55" applyFont="1" applyFill="1" applyBorder="1" applyProtection="1">
      <alignment/>
      <protection locked="0"/>
    </xf>
    <xf numFmtId="174" fontId="4" fillId="0" borderId="12" xfId="42" applyNumberFormat="1" applyFont="1" applyFill="1" applyBorder="1" applyAlignment="1" applyProtection="1">
      <alignment/>
      <protection locked="0"/>
    </xf>
    <xf numFmtId="3" fontId="0" fillId="0" borderId="12" xfId="55" applyNumberFormat="1" applyFont="1" applyFill="1" applyBorder="1" applyProtection="1">
      <alignment/>
      <protection/>
    </xf>
    <xf numFmtId="3" fontId="0" fillId="0" borderId="31" xfId="55" applyNumberFormat="1" applyFont="1" applyFill="1" applyBorder="1" applyProtection="1">
      <alignment/>
      <protection/>
    </xf>
    <xf numFmtId="0" fontId="1" fillId="0" borderId="23" xfId="55" applyFont="1" applyFill="1" applyBorder="1" applyAlignment="1" applyProtection="1">
      <alignment horizontal="right"/>
      <protection/>
    </xf>
    <xf numFmtId="0" fontId="1" fillId="0" borderId="0" xfId="55" applyFont="1" applyFill="1" applyBorder="1">
      <alignment/>
      <protection/>
    </xf>
    <xf numFmtId="0" fontId="1" fillId="0" borderId="0" xfId="55" applyFont="1" applyFill="1" applyBorder="1" applyAlignment="1" applyProtection="1">
      <alignment horizontal="right"/>
      <protection/>
    </xf>
    <xf numFmtId="37" fontId="1" fillId="0" borderId="0" xfId="55" applyNumberFormat="1" applyFont="1" applyFill="1" applyBorder="1" applyAlignment="1" applyProtection="1">
      <alignment horizontal="right"/>
      <protection/>
    </xf>
    <xf numFmtId="37" fontId="1" fillId="0" borderId="0" xfId="55" applyNumberFormat="1" applyFont="1" applyFill="1" applyBorder="1" applyProtection="1">
      <alignment/>
      <protection/>
    </xf>
    <xf numFmtId="37" fontId="1" fillId="0" borderId="24" xfId="55" applyNumberFormat="1" applyFont="1" applyFill="1" applyBorder="1" applyAlignment="1" applyProtection="1">
      <alignment horizontal="right"/>
      <protection/>
    </xf>
    <xf numFmtId="3" fontId="1" fillId="0" borderId="22" xfId="55" applyNumberFormat="1" applyFont="1" applyFill="1" applyBorder="1" applyProtection="1">
      <alignment/>
      <protection/>
    </xf>
    <xf numFmtId="3" fontId="1" fillId="0" borderId="10" xfId="55" applyNumberFormat="1" applyFont="1" applyFill="1" applyBorder="1" applyAlignment="1" applyProtection="1">
      <alignment horizontal="left"/>
      <protection/>
    </xf>
    <xf numFmtId="3" fontId="1" fillId="0" borderId="10" xfId="55" applyNumberFormat="1" applyFont="1" applyFill="1" applyBorder="1" applyProtection="1">
      <alignment/>
      <protection/>
    </xf>
    <xf numFmtId="4" fontId="1" fillId="0" borderId="10" xfId="55" applyNumberFormat="1" applyFont="1" applyFill="1" applyBorder="1" applyProtection="1">
      <alignment/>
      <protection/>
    </xf>
    <xf numFmtId="3" fontId="1" fillId="0" borderId="14" xfId="55" applyNumberFormat="1" applyFont="1" applyFill="1" applyBorder="1" applyProtection="1">
      <alignment/>
      <protection/>
    </xf>
    <xf numFmtId="0" fontId="0" fillId="0" borderId="0" xfId="55" applyFont="1" applyFill="1">
      <alignment/>
      <protection/>
    </xf>
    <xf numFmtId="0" fontId="0" fillId="35" borderId="0" xfId="0" applyFill="1" applyAlignment="1" applyProtection="1">
      <alignment horizontal="left"/>
      <protection/>
    </xf>
    <xf numFmtId="0" fontId="0" fillId="35" borderId="0" xfId="0" applyFill="1" applyAlignment="1">
      <alignment/>
    </xf>
    <xf numFmtId="174" fontId="4" fillId="35" borderId="0" xfId="42" applyNumberFormat="1" applyFont="1" applyFill="1" applyAlignment="1" applyProtection="1">
      <alignment/>
      <protection locked="0"/>
    </xf>
    <xf numFmtId="166" fontId="4" fillId="35" borderId="0" xfId="0" applyNumberFormat="1" applyFont="1" applyFill="1" applyAlignment="1" applyProtection="1">
      <alignment/>
      <protection locked="0"/>
    </xf>
    <xf numFmtId="165" fontId="4" fillId="35" borderId="0" xfId="0" applyNumberFormat="1" applyFont="1" applyFill="1" applyAlignment="1" applyProtection="1">
      <alignment/>
      <protection locked="0"/>
    </xf>
    <xf numFmtId="167" fontId="0" fillId="35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 horizontal="left"/>
      <protection/>
    </xf>
    <xf numFmtId="166" fontId="4" fillId="35" borderId="0" xfId="0" applyNumberFormat="1" applyFont="1" applyFill="1" applyAlignment="1" applyProtection="1">
      <alignment horizontal="right"/>
      <protection locked="0"/>
    </xf>
    <xf numFmtId="0" fontId="6" fillId="35" borderId="27" xfId="0" applyFont="1" applyFill="1" applyBorder="1" applyAlignment="1">
      <alignment/>
    </xf>
    <xf numFmtId="0" fontId="0" fillId="35" borderId="29" xfId="0" applyFill="1" applyBorder="1" applyAlignment="1">
      <alignment/>
    </xf>
    <xf numFmtId="0" fontId="7" fillId="35" borderId="0" xfId="0" applyNumberFormat="1" applyFont="1" applyFill="1" applyAlignment="1" applyProtection="1">
      <alignment/>
      <protection/>
    </xf>
    <xf numFmtId="0" fontId="6" fillId="35" borderId="22" xfId="0" applyFont="1" applyFill="1" applyBorder="1" applyAlignment="1">
      <alignment/>
    </xf>
    <xf numFmtId="0" fontId="0" fillId="35" borderId="14" xfId="0" applyFill="1" applyBorder="1" applyAlignment="1">
      <alignment/>
    </xf>
    <xf numFmtId="0" fontId="47" fillId="0" borderId="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c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475\De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al 3, 4"/>
      <sheetName val="Long Decal"/>
      <sheetName val="Instructions"/>
      <sheetName val="IRR Code"/>
      <sheetName val="Module1"/>
      <sheetName val="Modu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selection activeCell="C4" sqref="C4"/>
    </sheetView>
  </sheetViews>
  <sheetFormatPr defaultColWidth="11.00390625" defaultRowHeight="12.75"/>
  <cols>
    <col min="1" max="1" width="18.57421875" style="62" customWidth="1"/>
    <col min="2" max="2" width="6.421875" style="62" customWidth="1"/>
    <col min="3" max="3" width="9.8515625" style="62" customWidth="1"/>
    <col min="4" max="4" width="13.28125" style="62" customWidth="1"/>
    <col min="5" max="5" width="0.71875" style="62" hidden="1" customWidth="1"/>
    <col min="6" max="8" width="13.57421875" style="62" customWidth="1"/>
    <col min="9" max="16384" width="11.00390625" style="62" customWidth="1"/>
  </cols>
  <sheetData>
    <row r="1" ht="17.25">
      <c r="A1" s="67" t="s">
        <v>64</v>
      </c>
    </row>
    <row r="2" ht="18" thickBot="1">
      <c r="A2" s="67"/>
    </row>
    <row r="3" spans="1:9" ht="12.75">
      <c r="A3" s="68"/>
      <c r="F3" s="171" t="s">
        <v>81</v>
      </c>
      <c r="G3" s="172"/>
      <c r="H3" s="182"/>
      <c r="I3" s="173"/>
    </row>
    <row r="4" spans="1:9" ht="12.75">
      <c r="A4" s="68"/>
      <c r="B4" s="69" t="s">
        <v>2</v>
      </c>
      <c r="C4" s="169">
        <v>40391</v>
      </c>
      <c r="F4" s="183" t="s">
        <v>85</v>
      </c>
      <c r="G4" s="181"/>
      <c r="H4" s="181"/>
      <c r="I4" s="184"/>
    </row>
    <row r="5" spans="1:9" ht="13.5" thickBot="1">
      <c r="A5" s="68"/>
      <c r="B5" s="69"/>
      <c r="C5" s="180"/>
      <c r="F5" s="174" t="s">
        <v>82</v>
      </c>
      <c r="G5" s="175"/>
      <c r="H5" s="175"/>
      <c r="I5" s="176"/>
    </row>
    <row r="6" spans="1:8" ht="12.75">
      <c r="A6" s="68"/>
      <c r="B6" s="69"/>
      <c r="C6" s="180"/>
      <c r="F6" s="170"/>
      <c r="G6" s="181"/>
      <c r="H6" s="181"/>
    </row>
    <row r="7" spans="1:8" ht="12.75">
      <c r="A7" s="68"/>
      <c r="B7" s="69"/>
      <c r="C7" s="180"/>
      <c r="F7" s="170"/>
      <c r="G7" s="181"/>
      <c r="H7" s="181"/>
    </row>
    <row r="8" ht="12.75">
      <c r="A8" s="68"/>
    </row>
    <row r="9" spans="1:8" ht="12.75">
      <c r="A9" s="81"/>
      <c r="B9" s="82"/>
      <c r="C9" s="189"/>
      <c r="D9" s="189"/>
      <c r="E9" s="189"/>
      <c r="F9" s="190" t="s">
        <v>71</v>
      </c>
      <c r="G9" s="82"/>
      <c r="H9" s="93"/>
    </row>
    <row r="10" spans="1:8" ht="15">
      <c r="A10" s="94" t="s">
        <v>65</v>
      </c>
      <c r="B10" s="95"/>
      <c r="C10" s="95" t="s">
        <v>0</v>
      </c>
      <c r="D10" s="95"/>
      <c r="E10" s="95"/>
      <c r="F10" s="187">
        <f>A32</f>
        <v>31036.159486875986</v>
      </c>
      <c r="G10" s="95"/>
      <c r="H10" s="96"/>
    </row>
    <row r="11" spans="1:8" ht="12.75">
      <c r="A11" s="97"/>
      <c r="B11" s="95"/>
      <c r="C11" s="84" t="s">
        <v>62</v>
      </c>
      <c r="D11" s="84"/>
      <c r="E11" s="84"/>
      <c r="F11" s="188">
        <f>NPV2</f>
        <v>31137.214196152458</v>
      </c>
      <c r="G11" s="95"/>
      <c r="H11" s="96"/>
    </row>
    <row r="12" spans="1:8" ht="12.75">
      <c r="A12" s="97"/>
      <c r="B12" s="95"/>
      <c r="C12" s="95" t="s">
        <v>66</v>
      </c>
      <c r="D12" s="95"/>
      <c r="E12" s="95"/>
      <c r="F12" s="186">
        <f>F11-F10</f>
        <v>101.05470927647184</v>
      </c>
      <c r="G12" s="98" t="str">
        <f>IF(F12&lt;=0,"   Forget the Refinance","   Go ahead and refinance")</f>
        <v>   Go ahead and refinance</v>
      </c>
      <c r="H12" s="96"/>
    </row>
    <row r="13" spans="1:8" ht="12.75">
      <c r="A13" s="97"/>
      <c r="B13" s="95"/>
      <c r="C13" s="95"/>
      <c r="D13" s="95"/>
      <c r="E13" s="95"/>
      <c r="F13" s="95"/>
      <c r="G13" s="98" t="str">
        <f>IF(F12&lt;=0,"   unless only way to get cash","   unless too close to bother")</f>
        <v>   unless too close to bother</v>
      </c>
      <c r="H13" s="96"/>
    </row>
    <row r="14" spans="1:8" ht="12.75">
      <c r="A14" s="97"/>
      <c r="B14" s="95"/>
      <c r="C14" s="95"/>
      <c r="D14" s="185" t="s">
        <v>70</v>
      </c>
      <c r="E14" s="95"/>
      <c r="F14" s="186">
        <f>F12+D26</f>
        <v>1300.0547092764718</v>
      </c>
      <c r="G14" s="98"/>
      <c r="H14" s="96"/>
    </row>
    <row r="15" spans="1:8" ht="12.75">
      <c r="A15" s="83"/>
      <c r="B15" s="84"/>
      <c r="C15" s="84"/>
      <c r="D15" s="140" t="str">
        <f>"Number of months to pay off $"&amp;D26&amp;" closing costs: "</f>
        <v>Number of months to pay off $1199 closing costs: </v>
      </c>
      <c r="E15" s="84"/>
      <c r="F15" s="99">
        <f>-NPER(Interest1/100/12,D42-D25,D26)</f>
        <v>23.74194587983344</v>
      </c>
      <c r="G15" s="84" t="s">
        <v>88</v>
      </c>
      <c r="H15" s="100"/>
    </row>
    <row r="16" spans="1:8" ht="12.75">
      <c r="A16" s="177"/>
      <c r="B16" s="177"/>
      <c r="C16" s="177"/>
      <c r="D16" s="178"/>
      <c r="E16" s="177"/>
      <c r="G16" s="177"/>
      <c r="H16" s="177"/>
    </row>
    <row r="17" spans="1:8" ht="12.75">
      <c r="A17" s="177"/>
      <c r="B17" s="177"/>
      <c r="C17" s="177"/>
      <c r="D17" s="178"/>
      <c r="E17" s="177"/>
      <c r="F17" s="179"/>
      <c r="G17" s="177"/>
      <c r="H17" s="177"/>
    </row>
    <row r="18" spans="1:8" ht="12.75">
      <c r="A18" s="177"/>
      <c r="B18" s="177"/>
      <c r="C18" s="177"/>
      <c r="D18" s="178"/>
      <c r="E18" s="177"/>
      <c r="F18" s="179"/>
      <c r="G18" s="177"/>
      <c r="H18" s="177"/>
    </row>
    <row r="20" spans="1:8" s="61" customFormat="1" ht="15">
      <c r="A20" s="101" t="s">
        <v>63</v>
      </c>
      <c r="B20" s="102"/>
      <c r="C20" s="102"/>
      <c r="D20" s="103"/>
      <c r="E20" s="102"/>
      <c r="F20" s="102"/>
      <c r="G20" s="103"/>
      <c r="H20" s="104"/>
    </row>
    <row r="21" spans="1:8" ht="12.75">
      <c r="A21" s="105"/>
      <c r="B21" s="106"/>
      <c r="C21" s="106"/>
      <c r="D21" s="106"/>
      <c r="E21" s="106"/>
      <c r="F21" s="107" t="str">
        <f>IF(F22=1,"Annual",IF(F22=4,"Quarterly",IF(F22=12,"Monthly","")))</f>
        <v>Monthly</v>
      </c>
      <c r="G21" s="106"/>
      <c r="H21" s="108"/>
    </row>
    <row r="22" spans="1:8" ht="12.75">
      <c r="A22" s="109"/>
      <c r="B22" s="110" t="s">
        <v>45</v>
      </c>
      <c r="C22" s="111">
        <v>3</v>
      </c>
      <c r="D22" s="112" t="s">
        <v>46</v>
      </c>
      <c r="E22" s="113">
        <f>C22/F22/100</f>
        <v>0.0025</v>
      </c>
      <c r="F22" s="114">
        <v>12</v>
      </c>
      <c r="G22" s="115" t="s">
        <v>47</v>
      </c>
      <c r="H22" s="116">
        <f>(1+E22)^F22-1</f>
        <v>0.030415956913506736</v>
      </c>
    </row>
    <row r="23" spans="1:9" ht="13.5" thickBot="1">
      <c r="A23" s="117"/>
      <c r="B23" s="85"/>
      <c r="C23" s="85"/>
      <c r="D23" s="86"/>
      <c r="E23" s="86"/>
      <c r="F23" s="86"/>
      <c r="G23" s="86"/>
      <c r="H23" s="118"/>
      <c r="I23" s="63"/>
    </row>
    <row r="24" spans="1:8" ht="13.5" thickBot="1">
      <c r="A24" s="119" t="s">
        <v>48</v>
      </c>
      <c r="B24" s="87" t="s">
        <v>49</v>
      </c>
      <c r="C24" s="87" t="s">
        <v>50</v>
      </c>
      <c r="D24" s="88" t="s">
        <v>51</v>
      </c>
      <c r="E24" s="89"/>
      <c r="F24" s="88" t="s">
        <v>52</v>
      </c>
      <c r="G24" s="88" t="s">
        <v>53</v>
      </c>
      <c r="H24" s="120" t="s">
        <v>54</v>
      </c>
    </row>
    <row r="25" spans="1:8" ht="12.75">
      <c r="A25" s="121" t="s">
        <v>61</v>
      </c>
      <c r="B25" s="122">
        <v>1</v>
      </c>
      <c r="C25" s="123">
        <f>'New Loan'!C4*12</f>
        <v>48</v>
      </c>
      <c r="D25" s="124">
        <f>'New Loan'!C11</f>
        <v>680.6538007740286</v>
      </c>
      <c r="E25" s="125">
        <f aca="true" t="shared" si="0" ref="E25:E30">IF(C25-B25&lt;=0,D25/(1+$E$22)^B25,(PV($E$22,C25-B25+1,-D25)/(1+$E$22)^(B25-1)))</f>
        <v>30751.05021728015</v>
      </c>
      <c r="F25" s="125">
        <f aca="true" t="shared" si="1" ref="F25:F30">IF(E25&lt;=0,0,IF(B25="",D25/(1+$E$22)^C25,E25))</f>
        <v>30751.05021728015</v>
      </c>
      <c r="G25" s="125">
        <f aca="true" t="shared" si="2" ref="G25:G30">IF(E25&gt;=0,0,IF(B25="",D25/(1+$E$22)^C25,E25))</f>
        <v>0</v>
      </c>
      <c r="H25" s="126">
        <f aca="true" t="shared" si="3" ref="H25:H30">IF(C25-B25&lt;=0,D25,IF(B25="",D25,D25*(C25-B25+1)))</f>
        <v>32671.38243715337</v>
      </c>
    </row>
    <row r="26" spans="1:8" ht="12.75">
      <c r="A26" s="121" t="s">
        <v>16</v>
      </c>
      <c r="B26" s="122">
        <v>0</v>
      </c>
      <c r="C26" s="122"/>
      <c r="D26" s="124">
        <f>'Closing Costs'!B16</f>
        <v>1199</v>
      </c>
      <c r="E26" s="125">
        <f t="shared" si="0"/>
        <v>1199</v>
      </c>
      <c r="F26" s="125">
        <f t="shared" si="1"/>
        <v>1199</v>
      </c>
      <c r="G26" s="125">
        <f t="shared" si="2"/>
        <v>0</v>
      </c>
      <c r="H26" s="126">
        <f t="shared" si="3"/>
        <v>1199</v>
      </c>
    </row>
    <row r="27" spans="1:8" ht="12.75">
      <c r="A27" s="121" t="s">
        <v>67</v>
      </c>
      <c r="B27" s="122">
        <v>0</v>
      </c>
      <c r="C27" s="122"/>
      <c r="D27" s="124">
        <f>-MAX('New Loan'!L11:L370)</f>
        <v>-914.359259367048</v>
      </c>
      <c r="E27" s="125">
        <f t="shared" si="0"/>
        <v>-914.359259367048</v>
      </c>
      <c r="F27" s="125">
        <f t="shared" si="1"/>
        <v>0</v>
      </c>
      <c r="G27" s="125">
        <f t="shared" si="2"/>
        <v>-914.359259367048</v>
      </c>
      <c r="H27" s="126">
        <f t="shared" si="3"/>
        <v>-914.359259367048</v>
      </c>
    </row>
    <row r="28" spans="1:8" ht="12.75">
      <c r="A28" s="121" t="s">
        <v>83</v>
      </c>
      <c r="B28" s="122">
        <v>0</v>
      </c>
      <c r="C28" s="122"/>
      <c r="D28" s="124">
        <f>-VLOOKUP(C4,OldLoan,6)</f>
        <v>-29555.531471037117</v>
      </c>
      <c r="E28" s="125">
        <f t="shared" si="0"/>
        <v>-29555.531471037117</v>
      </c>
      <c r="F28" s="125">
        <f t="shared" si="1"/>
        <v>0</v>
      </c>
      <c r="G28" s="125">
        <f t="shared" si="2"/>
        <v>-29555.531471037117</v>
      </c>
      <c r="H28" s="126">
        <f t="shared" si="3"/>
        <v>-29555.531471037117</v>
      </c>
    </row>
    <row r="29" spans="1:8" ht="12.75">
      <c r="A29" s="121" t="s">
        <v>84</v>
      </c>
      <c r="B29" s="122">
        <v>0</v>
      </c>
      <c r="C29" s="122"/>
      <c r="D29" s="124">
        <f>'New Loan'!C3</f>
        <v>29556</v>
      </c>
      <c r="E29" s="125">
        <f t="shared" si="0"/>
        <v>29556</v>
      </c>
      <c r="F29" s="125">
        <f t="shared" si="1"/>
        <v>29556</v>
      </c>
      <c r="G29" s="125">
        <f t="shared" si="2"/>
        <v>0</v>
      </c>
      <c r="H29" s="126">
        <f t="shared" si="3"/>
        <v>29556</v>
      </c>
    </row>
    <row r="30" spans="1:8" ht="13.5" thickBot="1">
      <c r="A30" s="127"/>
      <c r="B30" s="90"/>
      <c r="C30" s="90"/>
      <c r="D30" s="91"/>
      <c r="E30" s="92">
        <f t="shared" si="0"/>
        <v>0</v>
      </c>
      <c r="F30" s="92">
        <f t="shared" si="1"/>
        <v>0</v>
      </c>
      <c r="G30" s="92">
        <f t="shared" si="2"/>
        <v>0</v>
      </c>
      <c r="H30" s="128">
        <f t="shared" si="3"/>
        <v>0</v>
      </c>
    </row>
    <row r="31" spans="1:8" ht="12.75">
      <c r="A31" s="129" t="s">
        <v>55</v>
      </c>
      <c r="B31" s="130"/>
      <c r="C31" s="131" t="str">
        <f>IF(F22=1,"Net/Yr",IF(F22=4,"Net/Qtr",IF(F22=12,"Net/Mo","Net/Period")))</f>
        <v>Net/Mo</v>
      </c>
      <c r="D31" s="132" t="s">
        <v>56</v>
      </c>
      <c r="E31" s="133">
        <f>MAX(MAX(B25:B30),MAX(C25:C30))</f>
        <v>48</v>
      </c>
      <c r="F31" s="132" t="s">
        <v>57</v>
      </c>
      <c r="G31" s="132" t="s">
        <v>58</v>
      </c>
      <c r="H31" s="134" t="s">
        <v>59</v>
      </c>
    </row>
    <row r="32" spans="1:8" ht="12.75">
      <c r="A32" s="135">
        <f>SUM(F25:F30)+SUM(G25:G30)</f>
        <v>31036.159486875986</v>
      </c>
      <c r="B32" s="136" t="s">
        <v>60</v>
      </c>
      <c r="C32" s="137">
        <f>A32*E22*(1+E22)^E31/((1+E22)^E31-1)</f>
        <v>686.9645025749468</v>
      </c>
      <c r="D32" s="137">
        <f>C32*((1+E22)^F22-1)/E22</f>
        <v>8357.873084571267</v>
      </c>
      <c r="E32" s="136" t="s">
        <v>60</v>
      </c>
      <c r="F32" s="137">
        <f>A32*(1+E22)^E31</f>
        <v>34987.93225501961</v>
      </c>
      <c r="G32" s="138">
        <f>IF(SUM(G25:G30)=0,NA(),SUM(F25:F30)/SUM(G25:G30)*(-1))</f>
        <v>2.0185845351885945</v>
      </c>
      <c r="H32" s="139">
        <f>SUM(H25:H30)</f>
        <v>32956.491706749206</v>
      </c>
    </row>
    <row r="33" spans="1:8" ht="12.75">
      <c r="A33" s="64"/>
      <c r="B33" s="65"/>
      <c r="C33" s="64"/>
      <c r="D33" s="64"/>
      <c r="E33" s="65"/>
      <c r="F33" s="64"/>
      <c r="G33" s="66"/>
      <c r="H33" s="64"/>
    </row>
    <row r="34" spans="1:8" ht="12.75">
      <c r="A34" s="64"/>
      <c r="B34" s="65"/>
      <c r="C34" s="64"/>
      <c r="D34" s="64"/>
      <c r="E34" s="65"/>
      <c r="F34" s="64"/>
      <c r="G34" s="66"/>
      <c r="H34" s="64"/>
    </row>
    <row r="35" spans="1:8" ht="12.75">
      <c r="A35" s="64"/>
      <c r="B35" s="65"/>
      <c r="C35" s="64"/>
      <c r="D35" s="64"/>
      <c r="E35" s="65"/>
      <c r="F35" s="64"/>
      <c r="G35" s="66"/>
      <c r="H35" s="64"/>
    </row>
    <row r="37" spans="1:8" ht="15">
      <c r="A37" s="191" t="s">
        <v>62</v>
      </c>
      <c r="B37" s="192"/>
      <c r="C37" s="192"/>
      <c r="D37" s="193"/>
      <c r="E37" s="192"/>
      <c r="F37" s="192"/>
      <c r="G37" s="193"/>
      <c r="H37" s="194"/>
    </row>
    <row r="38" spans="1:8" ht="12.75">
      <c r="A38" s="195"/>
      <c r="B38" s="177"/>
      <c r="C38" s="177"/>
      <c r="D38" s="177"/>
      <c r="E38" s="177"/>
      <c r="F38" s="196" t="str">
        <f>IF(F39=1,"Annual",IF(F39=4,"Quarterly",IF(F39=12,"Monthly","")))</f>
        <v>Monthly</v>
      </c>
      <c r="G38" s="177"/>
      <c r="H38" s="197"/>
    </row>
    <row r="39" spans="1:8" ht="12.75">
      <c r="A39" s="198"/>
      <c r="B39" s="199" t="s">
        <v>45</v>
      </c>
      <c r="C39" s="200">
        <v>3</v>
      </c>
      <c r="D39" s="201" t="s">
        <v>46</v>
      </c>
      <c r="E39" s="202">
        <f>C39/F39/100</f>
        <v>0.0025</v>
      </c>
      <c r="F39" s="203">
        <v>12</v>
      </c>
      <c r="G39" s="204" t="s">
        <v>47</v>
      </c>
      <c r="H39" s="205">
        <f>(1+E39)^F39-1</f>
        <v>0.030415956913506736</v>
      </c>
    </row>
    <row r="40" spans="1:8" ht="13.5" thickBot="1">
      <c r="A40" s="206"/>
      <c r="B40" s="207"/>
      <c r="C40" s="207"/>
      <c r="D40" s="208"/>
      <c r="E40" s="208"/>
      <c r="F40" s="208"/>
      <c r="G40" s="208"/>
      <c r="H40" s="209"/>
    </row>
    <row r="41" spans="1:8" ht="13.5" thickBot="1">
      <c r="A41" s="210" t="s">
        <v>48</v>
      </c>
      <c r="B41" s="211" t="s">
        <v>49</v>
      </c>
      <c r="C41" s="211" t="s">
        <v>50</v>
      </c>
      <c r="D41" s="212" t="s">
        <v>51</v>
      </c>
      <c r="E41" s="213"/>
      <c r="F41" s="212" t="s">
        <v>52</v>
      </c>
      <c r="G41" s="212" t="s">
        <v>53</v>
      </c>
      <c r="H41" s="214" t="s">
        <v>54</v>
      </c>
    </row>
    <row r="42" spans="1:8" ht="12.75">
      <c r="A42" s="215" t="s">
        <v>61</v>
      </c>
      <c r="B42" s="216">
        <v>1</v>
      </c>
      <c r="C42" s="217">
        <f>12*'Old Loan'!C4-VLOOKUP(C4,OldLoan,2)+1</f>
        <v>48</v>
      </c>
      <c r="D42" s="218">
        <f>'Old Loan'!C11</f>
        <v>729.7342947385081</v>
      </c>
      <c r="E42" s="219">
        <f aca="true" t="shared" si="4" ref="E42:E47">IF(C42-B42&lt;=0,D42/(1+$E$39)^B42,(PV($E$39,C42-B42+1,-D42)/(1+$E$39)^(B42-1)))</f>
        <v>32968.44286663331</v>
      </c>
      <c r="F42" s="219">
        <f aca="true" t="shared" si="5" ref="F42:F47">IF(E42&lt;=0,0,IF(B42="",D42/(1+$E$39)^C42,E42))</f>
        <v>32968.44286663331</v>
      </c>
      <c r="G42" s="219">
        <f aca="true" t="shared" si="6" ref="G42:G47">IF(E42&gt;=0,0,IF(B42="",D42/(1+$E$39)^C42,E42))</f>
        <v>0</v>
      </c>
      <c r="H42" s="220">
        <f aca="true" t="shared" si="7" ref="H42:H47">IF(C42-B42&lt;=0,D42,IF(B42="",D42,D42*(C42-B42+1)))</f>
        <v>35027.246147448386</v>
      </c>
    </row>
    <row r="43" spans="1:8" ht="12.75">
      <c r="A43" s="215" t="s">
        <v>16</v>
      </c>
      <c r="B43" s="216">
        <v>0</v>
      </c>
      <c r="C43" s="216"/>
      <c r="D43" s="218">
        <v>0</v>
      </c>
      <c r="E43" s="219">
        <f t="shared" si="4"/>
        <v>0</v>
      </c>
      <c r="F43" s="219">
        <f t="shared" si="5"/>
        <v>0</v>
      </c>
      <c r="G43" s="219">
        <f t="shared" si="6"/>
        <v>0</v>
      </c>
      <c r="H43" s="220">
        <f t="shared" si="7"/>
        <v>0</v>
      </c>
    </row>
    <row r="44" spans="1:8" ht="12.75">
      <c r="A44" s="215" t="s">
        <v>67</v>
      </c>
      <c r="B44" s="216">
        <v>0</v>
      </c>
      <c r="C44" s="216"/>
      <c r="D44" s="218">
        <f>(-MAX('Old Loan'!L11:L370)+VLOOKUP(C4,OldLoan,12))*(1+Interest2/100/12)^VLOOKUP(C4,OldLoan,2)</f>
        <v>-1831.228670480855</v>
      </c>
      <c r="E44" s="219">
        <f t="shared" si="4"/>
        <v>-1831.228670480855</v>
      </c>
      <c r="F44" s="219">
        <f t="shared" si="5"/>
        <v>0</v>
      </c>
      <c r="G44" s="219">
        <f t="shared" si="6"/>
        <v>-1831.228670480855</v>
      </c>
      <c r="H44" s="220">
        <f t="shared" si="7"/>
        <v>-1831.228670480855</v>
      </c>
    </row>
    <row r="45" spans="1:8" ht="12.75">
      <c r="A45" s="221"/>
      <c r="B45" s="222"/>
      <c r="C45" s="222"/>
      <c r="D45" s="223"/>
      <c r="E45" s="219">
        <f t="shared" si="4"/>
        <v>0</v>
      </c>
      <c r="F45" s="219">
        <f t="shared" si="5"/>
        <v>0</v>
      </c>
      <c r="G45" s="219">
        <f t="shared" si="6"/>
        <v>0</v>
      </c>
      <c r="H45" s="220">
        <f t="shared" si="7"/>
        <v>0</v>
      </c>
    </row>
    <row r="46" spans="1:8" ht="12.75">
      <c r="A46" s="221"/>
      <c r="B46" s="222"/>
      <c r="C46" s="222"/>
      <c r="D46" s="224"/>
      <c r="E46" s="219">
        <f t="shared" si="4"/>
        <v>0</v>
      </c>
      <c r="F46" s="219">
        <f t="shared" si="5"/>
        <v>0</v>
      </c>
      <c r="G46" s="219">
        <f t="shared" si="6"/>
        <v>0</v>
      </c>
      <c r="H46" s="220">
        <f t="shared" si="7"/>
        <v>0</v>
      </c>
    </row>
    <row r="47" spans="1:8" ht="13.5" thickBot="1">
      <c r="A47" s="225"/>
      <c r="B47" s="226"/>
      <c r="C47" s="226"/>
      <c r="D47" s="227"/>
      <c r="E47" s="228">
        <f t="shared" si="4"/>
        <v>0</v>
      </c>
      <c r="F47" s="228">
        <f t="shared" si="5"/>
        <v>0</v>
      </c>
      <c r="G47" s="228">
        <f t="shared" si="6"/>
        <v>0</v>
      </c>
      <c r="H47" s="229">
        <f t="shared" si="7"/>
        <v>0</v>
      </c>
    </row>
    <row r="48" spans="1:8" ht="12.75">
      <c r="A48" s="230" t="s">
        <v>55</v>
      </c>
      <c r="B48" s="231"/>
      <c r="C48" s="232" t="str">
        <f>IF(F39=1,"Net/Yr",IF(F39=4,"Net/Qtr",IF(F39=12,"Net/Mo","Net/Period")))</f>
        <v>Net/Mo</v>
      </c>
      <c r="D48" s="233" t="s">
        <v>56</v>
      </c>
      <c r="E48" s="234">
        <f>MAX(MAX(B42:B47),MAX(C42:C47))</f>
        <v>48</v>
      </c>
      <c r="F48" s="233" t="s">
        <v>57</v>
      </c>
      <c r="G48" s="233" t="s">
        <v>58</v>
      </c>
      <c r="H48" s="235" t="s">
        <v>59</v>
      </c>
    </row>
    <row r="49" spans="1:8" ht="12.75">
      <c r="A49" s="236">
        <f>SUM(F42:F47)+SUM(G42:G47)</f>
        <v>31137.214196152458</v>
      </c>
      <c r="B49" s="237" t="s">
        <v>60</v>
      </c>
      <c r="C49" s="238">
        <f>A49*E39*(1+E39)^E48/((1+E39)^E48-1)</f>
        <v>689.2012805538819</v>
      </c>
      <c r="D49" s="238">
        <f>C49*((1+E39)^F39-1)/E39</f>
        <v>8385.086581624217</v>
      </c>
      <c r="E49" s="237" t="s">
        <v>60</v>
      </c>
      <c r="F49" s="238">
        <f>A49*(1+E39)^E48</f>
        <v>35101.85406044502</v>
      </c>
      <c r="G49" s="239">
        <f>IF(SUM(G42:G47)=0,NA(),SUM(F42:F47)/SUM(G42:G47)*(-1))</f>
        <v>18.003454946987183</v>
      </c>
      <c r="H49" s="240">
        <f>SUM(H42:H47)</f>
        <v>33196.01747696753</v>
      </c>
    </row>
    <row r="50" spans="1:8" ht="12.75">
      <c r="A50" s="241"/>
      <c r="B50" s="241"/>
      <c r="C50" s="241"/>
      <c r="D50" s="241"/>
      <c r="E50" s="241"/>
      <c r="F50" s="241"/>
      <c r="G50" s="241"/>
      <c r="H50" s="241"/>
    </row>
  </sheetData>
  <sheetProtection/>
  <printOptions horizontalCentered="1"/>
  <pageMargins left="1" right="1" top="1" bottom="1" header="0.5" footer="0.5"/>
  <pageSetup fitToHeight="1" fitToWidth="1" horizontalDpi="300" verticalDpi="300" orientation="portrait" scale="84" r:id="rId1"/>
  <headerFooter alignWithMargins="0">
    <oddFooter>&amp;R&amp;8Dairy Management at Virginia Tech
Dr. M. L. McGilliard
Refinance.xls, Rev. 9/13/10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4.57421875" style="0" customWidth="1"/>
    <col min="2" max="2" width="9.28125" style="0" bestFit="1" customWidth="1"/>
  </cols>
  <sheetData>
    <row r="1" ht="17.25">
      <c r="A1" s="15" t="s">
        <v>16</v>
      </c>
    </row>
    <row r="2" spans="1:2" ht="12.75">
      <c r="A2" s="42"/>
      <c r="B2" s="42"/>
    </row>
    <row r="3" spans="1:2" ht="12.75">
      <c r="A3" t="s">
        <v>72</v>
      </c>
      <c r="B3" s="28"/>
    </row>
    <row r="4" spans="1:2" ht="12.75">
      <c r="A4" t="s">
        <v>73</v>
      </c>
      <c r="B4" s="28">
        <v>375</v>
      </c>
    </row>
    <row r="5" spans="1:2" ht="12.75">
      <c r="A5" t="s">
        <v>74</v>
      </c>
      <c r="B5" s="28">
        <v>135</v>
      </c>
    </row>
    <row r="6" spans="1:2" ht="12.75">
      <c r="A6" t="s">
        <v>75</v>
      </c>
      <c r="B6" s="28"/>
    </row>
    <row r="7" spans="1:2" ht="12.75">
      <c r="A7" t="s">
        <v>76</v>
      </c>
      <c r="B7" s="28">
        <v>250</v>
      </c>
    </row>
    <row r="8" spans="1:2" ht="12.75">
      <c r="A8" t="s">
        <v>77</v>
      </c>
      <c r="B8" s="28">
        <v>132</v>
      </c>
    </row>
    <row r="9" spans="1:2" ht="12.75">
      <c r="A9" t="s">
        <v>78</v>
      </c>
      <c r="B9" s="28">
        <v>12</v>
      </c>
    </row>
    <row r="10" spans="1:2" ht="12.75">
      <c r="A10" t="s">
        <v>79</v>
      </c>
      <c r="B10" s="28"/>
    </row>
    <row r="11" spans="1:2" ht="12.75">
      <c r="A11" t="s">
        <v>80</v>
      </c>
      <c r="B11" s="28">
        <v>295</v>
      </c>
    </row>
    <row r="12" ht="12.75">
      <c r="B12" s="28"/>
    </row>
    <row r="13" ht="12.75">
      <c r="B13" s="28"/>
    </row>
    <row r="14" ht="12.75">
      <c r="B14" s="28"/>
    </row>
    <row r="15" spans="1:2" ht="12.75">
      <c r="A15" s="42"/>
      <c r="B15" s="32"/>
    </row>
    <row r="16" spans="1:2" ht="12.75">
      <c r="A16" t="s">
        <v>69</v>
      </c>
      <c r="B16" s="28">
        <f>SUM(B3:B15)</f>
        <v>1199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7"/>
  <sheetViews>
    <sheetView zoomScalePageLayoutView="0" workbookViewId="0" topLeftCell="A1">
      <pane ySplit="10" topLeftCell="A134" activePane="bottomLeft" state="frozen"/>
      <selection pane="topLeft" activeCell="C1" sqref="C1"/>
      <selection pane="bottomLeft" activeCell="C8" sqref="C8"/>
    </sheetView>
  </sheetViews>
  <sheetFormatPr defaultColWidth="11.00390625" defaultRowHeight="12.75"/>
  <cols>
    <col min="1" max="1" width="9.140625" style="0" customWidth="1"/>
    <col min="2" max="2" width="6.421875" style="0" customWidth="1"/>
    <col min="3" max="3" width="11.28125" style="0" customWidth="1"/>
    <col min="4" max="5" width="11.00390625" style="0" customWidth="1"/>
    <col min="6" max="6" width="12.8515625" style="0" customWidth="1"/>
    <col min="7" max="7" width="12.8515625" style="0" hidden="1" customWidth="1"/>
    <col min="8" max="8" width="11.140625" style="0" customWidth="1"/>
    <col min="9" max="9" width="12.140625" style="0" customWidth="1"/>
    <col min="10" max="10" width="10.57421875" style="0" customWidth="1"/>
  </cols>
  <sheetData>
    <row r="1" s="15" customFormat="1" ht="18" thickBot="1">
      <c r="A1" s="14" t="s">
        <v>86</v>
      </c>
    </row>
    <row r="2" spans="10:12" ht="13.5" thickBot="1">
      <c r="J2" s="38" t="s">
        <v>17</v>
      </c>
      <c r="K2" s="39">
        <f>H4/100</f>
        <v>0.03</v>
      </c>
      <c r="L2" s="40" t="s">
        <v>18</v>
      </c>
    </row>
    <row r="3" spans="1:12" ht="12.75">
      <c r="A3" s="242" t="s">
        <v>19</v>
      </c>
      <c r="B3" s="243"/>
      <c r="C3" s="244">
        <v>78000</v>
      </c>
      <c r="D3" s="243"/>
      <c r="E3" s="242" t="s">
        <v>20</v>
      </c>
      <c r="F3" s="243"/>
      <c r="G3" s="243"/>
      <c r="H3" s="245">
        <v>7.65</v>
      </c>
      <c r="I3" s="2">
        <f>H3/100/12</f>
        <v>0.006375</v>
      </c>
      <c r="J3" s="35" t="s">
        <v>21</v>
      </c>
      <c r="K3" s="24"/>
      <c r="L3" s="36">
        <f>MAX(K11:K370)</f>
        <v>105669.51858794862</v>
      </c>
    </row>
    <row r="4" spans="1:12" ht="12.75">
      <c r="A4" s="242" t="s">
        <v>22</v>
      </c>
      <c r="B4" s="243"/>
      <c r="C4" s="246">
        <v>15</v>
      </c>
      <c r="D4" s="247">
        <f>C4*12</f>
        <v>180</v>
      </c>
      <c r="E4" s="248" t="s">
        <v>23</v>
      </c>
      <c r="F4" s="248"/>
      <c r="G4" s="248"/>
      <c r="H4" s="249">
        <v>3</v>
      </c>
      <c r="I4" s="2">
        <f>H4/100/12</f>
        <v>0.0025</v>
      </c>
      <c r="J4" s="41" t="s">
        <v>24</v>
      </c>
      <c r="K4" s="42"/>
      <c r="L4" s="43">
        <f>C3</f>
        <v>78000</v>
      </c>
    </row>
    <row r="5" spans="1:12" ht="12.75">
      <c r="A5" s="242" t="s">
        <v>25</v>
      </c>
      <c r="B5" s="243"/>
      <c r="C5" s="246">
        <v>8</v>
      </c>
      <c r="D5" s="243"/>
      <c r="E5" s="243" t="s">
        <v>26</v>
      </c>
      <c r="F5" s="243"/>
      <c r="G5" s="243"/>
      <c r="H5" s="249">
        <v>30</v>
      </c>
      <c r="I5" s="2">
        <f>H5/100</f>
        <v>0.3</v>
      </c>
      <c r="J5" s="35" t="s">
        <v>27</v>
      </c>
      <c r="K5" s="24"/>
      <c r="L5" s="36">
        <f>L3-L4</f>
        <v>27669.518587948623</v>
      </c>
    </row>
    <row r="6" spans="1:12" ht="12.75">
      <c r="A6" s="242" t="s">
        <v>28</v>
      </c>
      <c r="B6" s="243"/>
      <c r="C6" s="246">
        <v>1</v>
      </c>
      <c r="D6" s="243"/>
      <c r="E6" s="250" t="s">
        <v>29</v>
      </c>
      <c r="F6" s="251"/>
      <c r="G6" s="243"/>
      <c r="H6" s="243"/>
      <c r="J6" s="35"/>
      <c r="K6" s="24"/>
      <c r="L6" s="37"/>
    </row>
    <row r="7" spans="1:12" ht="13.5" thickBot="1">
      <c r="A7" s="242" t="s">
        <v>30</v>
      </c>
      <c r="B7" s="243"/>
      <c r="C7" s="246">
        <v>1999</v>
      </c>
      <c r="D7" s="252" t="str">
        <f>IF(C7&lt;1900,"Bad Year"," ")</f>
        <v> </v>
      </c>
      <c r="E7" s="253" t="s">
        <v>31</v>
      </c>
      <c r="F7" s="254"/>
      <c r="G7" s="243"/>
      <c r="H7" s="243"/>
      <c r="J7" s="16" t="s">
        <v>32</v>
      </c>
      <c r="K7" s="17"/>
      <c r="L7" s="18">
        <f>MAX(L11:L370)</f>
        <v>13472.842851474403</v>
      </c>
    </row>
    <row r="8" spans="1:6" ht="12.75">
      <c r="A8" s="1"/>
      <c r="C8" s="9"/>
      <c r="D8" s="2"/>
      <c r="E8" s="255" t="s">
        <v>89</v>
      </c>
      <c r="F8" s="24"/>
    </row>
    <row r="9" spans="8:12" ht="12.75">
      <c r="H9" s="10" t="s">
        <v>33</v>
      </c>
      <c r="I9" s="23" t="s">
        <v>34</v>
      </c>
      <c r="J9" s="23"/>
      <c r="K9" s="23"/>
      <c r="L9" s="23"/>
    </row>
    <row r="10" spans="1:12" s="24" customFormat="1" ht="12.75">
      <c r="A10" s="4" t="s">
        <v>35</v>
      </c>
      <c r="B10" s="4" t="s">
        <v>36</v>
      </c>
      <c r="C10" s="5" t="s">
        <v>37</v>
      </c>
      <c r="D10" s="5" t="s">
        <v>38</v>
      </c>
      <c r="E10" s="5" t="s">
        <v>39</v>
      </c>
      <c r="F10" s="5" t="s">
        <v>40</v>
      </c>
      <c r="G10" s="5"/>
      <c r="H10" s="5" t="s">
        <v>41</v>
      </c>
      <c r="I10" s="5" t="s">
        <v>38</v>
      </c>
      <c r="J10" s="5" t="s">
        <v>39</v>
      </c>
      <c r="K10" s="11" t="s">
        <v>42</v>
      </c>
      <c r="L10" s="11" t="s">
        <v>43</v>
      </c>
    </row>
    <row r="11" spans="1:12" ht="12.75">
      <c r="A11" s="6">
        <f>DATE(C7,C5,C6)</f>
        <v>36373</v>
      </c>
      <c r="B11" s="3">
        <v>1</v>
      </c>
      <c r="C11" s="25">
        <f>PMT(I3,D4,-C3)</f>
        <v>729.7342947385081</v>
      </c>
      <c r="D11" s="25">
        <f>I3*C3</f>
        <v>497.24999999999994</v>
      </c>
      <c r="E11" s="25">
        <f>C11-D11</f>
        <v>232.48429473850814</v>
      </c>
      <c r="F11" s="25">
        <f>C3-E11</f>
        <v>77767.5157052615</v>
      </c>
      <c r="G11" s="12">
        <f>D11*$I$5</f>
        <v>149.17499999999998</v>
      </c>
      <c r="H11" s="28">
        <f>IF(YEAR(A11)&lt;YEAR(A12),G11,"")</f>
      </c>
      <c r="I11" s="29">
        <f>D11</f>
        <v>497.24999999999994</v>
      </c>
      <c r="J11" s="29">
        <f>E11</f>
        <v>232.48429473850814</v>
      </c>
      <c r="K11" s="28">
        <f>C11/(1+$I$4)^B11</f>
        <v>727.9145084673398</v>
      </c>
      <c r="L11" s="28">
        <f>IF(H11="",0,H11/(1+$I$4)^B11)</f>
        <v>0</v>
      </c>
    </row>
    <row r="12" spans="1:12" ht="12.75">
      <c r="A12" s="6">
        <f>IF($C$6&lt;27,DATE((YEAR(A11)-1900),MONTH(A11)+1,$C$6),DATE((YEAR(A11)-1900),MONTH(A11)+2,1)-1)</f>
        <v>36404</v>
      </c>
      <c r="B12" s="3">
        <f aca="true" t="shared" si="0" ref="B12:B27">B11+1</f>
        <v>2</v>
      </c>
      <c r="C12" s="25">
        <f aca="true" t="shared" si="1" ref="C12:C27">IF(F11&gt;0.5,C11,"")</f>
        <v>729.7342947385081</v>
      </c>
      <c r="D12" s="25">
        <f aca="true" t="shared" si="2" ref="D12:D27">IF(F11&gt;0.5,$I$3*F11,"")</f>
        <v>495.767912621042</v>
      </c>
      <c r="E12" s="25">
        <f aca="true" t="shared" si="3" ref="E12:E27">IF(F11&gt;0.5,C12-D12,"")</f>
        <v>233.96638211746608</v>
      </c>
      <c r="F12" s="25">
        <f aca="true" t="shared" si="4" ref="F12:F27">IF(F11&gt;0.5,F11-E12,0)</f>
        <v>77533.54932314403</v>
      </c>
      <c r="G12" s="12">
        <f aca="true" t="shared" si="5" ref="G12:G43">IF(F11&gt;0.5,D12*$I$5,"")</f>
        <v>148.73037378631258</v>
      </c>
      <c r="H12" s="28">
        <f>IF(F11&lt;0.5,"",IF(OR(YEAR(A12)&lt;YEAR(A13),F12&lt;0.5),SUM($G$11:G12)-SUM($H$11:H11),""))</f>
      </c>
      <c r="I12" s="29">
        <f aca="true" t="shared" si="6" ref="I12:I27">IF(F11&gt;0.5,I11+D12,"")</f>
        <v>993.0179126210419</v>
      </c>
      <c r="J12" s="29">
        <f aca="true" t="shared" si="7" ref="J12:J27">IF(F11&gt;0.5,J11+E12,"")</f>
        <v>466.4506768559742</v>
      </c>
      <c r="K12" s="28">
        <f>IF(F11&gt;0.5,C12/(1+$I$4)^B12+K11,"")</f>
        <v>1454.0137687838883</v>
      </c>
      <c r="L12" s="28">
        <f>IF(F11&lt;0.5,"",IF(H12="",L11,H12/(1+$I$4)^B12+L11))</f>
        <v>0</v>
      </c>
    </row>
    <row r="13" spans="1:12" ht="12.75">
      <c r="A13" s="6">
        <f aca="true" t="shared" si="8" ref="A13:A76">IF($C$6&lt;27,DATE((YEAR(A12)-1900),MONTH(A12)+1,$C$6),DATE((YEAR(A12)-1900),MONTH(A12)+2,1)-1)</f>
        <v>36434</v>
      </c>
      <c r="B13" s="3">
        <f t="shared" si="0"/>
        <v>3</v>
      </c>
      <c r="C13" s="25">
        <f t="shared" si="1"/>
        <v>729.7342947385081</v>
      </c>
      <c r="D13" s="25">
        <f t="shared" si="2"/>
        <v>494.2763769350432</v>
      </c>
      <c r="E13" s="25">
        <f t="shared" si="3"/>
        <v>235.4579178034649</v>
      </c>
      <c r="F13" s="25">
        <f t="shared" si="4"/>
        <v>77298.09140534057</v>
      </c>
      <c r="G13" s="12">
        <f t="shared" si="5"/>
        <v>148.28291308051294</v>
      </c>
      <c r="H13" s="28">
        <f>IF(F12&lt;0.5,"",IF(OR(YEAR(A13)&lt;YEAR(A14),F13&lt;0.5),SUM($G$11:G13)-SUM($H$11:H12),""))</f>
      </c>
      <c r="I13" s="29">
        <f t="shared" si="6"/>
        <v>1487.294289556085</v>
      </c>
      <c r="J13" s="29">
        <f t="shared" si="7"/>
        <v>701.9085946594391</v>
      </c>
      <c r="K13" s="28">
        <f aca="true" t="shared" si="9" ref="K13:K28">IF(F12&gt;0.5,C13/(1+$I$4)^B13+K12,"")</f>
        <v>2178.3023077530142</v>
      </c>
      <c r="L13" s="28">
        <f aca="true" t="shared" si="10" ref="L13:L28">IF(F12&lt;0.5,"",IF(H13="",L12,H13/(1+$I$4)^B13+L12))</f>
        <v>0</v>
      </c>
    </row>
    <row r="14" spans="1:12" ht="12.75">
      <c r="A14" s="6">
        <f t="shared" si="8"/>
        <v>36465</v>
      </c>
      <c r="B14" s="3">
        <f t="shared" si="0"/>
        <v>4</v>
      </c>
      <c r="C14" s="25">
        <f t="shared" si="1"/>
        <v>729.7342947385081</v>
      </c>
      <c r="D14" s="25">
        <f t="shared" si="2"/>
        <v>492.7753327090461</v>
      </c>
      <c r="E14" s="25">
        <f t="shared" si="3"/>
        <v>236.958962029462</v>
      </c>
      <c r="F14" s="25">
        <f t="shared" si="4"/>
        <v>77061.13244331111</v>
      </c>
      <c r="G14" s="12">
        <f t="shared" si="5"/>
        <v>147.83259981271382</v>
      </c>
      <c r="H14" s="28">
        <f>IF(F13&lt;0.5,"",IF(OR(YEAR(A14)&lt;YEAR(A15),F14&lt;0.5),SUM($G$11:G14)-SUM($H$11:H13),""))</f>
      </c>
      <c r="I14" s="29">
        <f t="shared" si="6"/>
        <v>1980.069622265131</v>
      </c>
      <c r="J14" s="29">
        <f t="shared" si="7"/>
        <v>938.8675566889011</v>
      </c>
      <c r="K14" s="28">
        <f t="shared" si="9"/>
        <v>2900.784640889299</v>
      </c>
      <c r="L14" s="28">
        <f t="shared" si="10"/>
        <v>0</v>
      </c>
    </row>
    <row r="15" spans="1:12" ht="12.75">
      <c r="A15" s="6">
        <f t="shared" si="8"/>
        <v>36495</v>
      </c>
      <c r="B15" s="3">
        <f t="shared" si="0"/>
        <v>5</v>
      </c>
      <c r="C15" s="25">
        <f t="shared" si="1"/>
        <v>729.7342947385081</v>
      </c>
      <c r="D15" s="25">
        <f t="shared" si="2"/>
        <v>491.2647193261083</v>
      </c>
      <c r="E15" s="25">
        <f t="shared" si="3"/>
        <v>238.46957541239976</v>
      </c>
      <c r="F15" s="25">
        <f t="shared" si="4"/>
        <v>76822.66286789872</v>
      </c>
      <c r="G15" s="12">
        <f t="shared" si="5"/>
        <v>147.37941579783248</v>
      </c>
      <c r="H15" s="28">
        <f>IF(F14&lt;0.5,"",IF(OR(YEAR(A15)&lt;YEAR(A16),F15&lt;0.5),SUM($G$11:G15)-SUM($H$11:H14),""))</f>
        <v>741.4003024773718</v>
      </c>
      <c r="I15" s="29">
        <f t="shared" si="6"/>
        <v>2471.3343415912395</v>
      </c>
      <c r="J15" s="29">
        <f t="shared" si="7"/>
        <v>1177.337132101301</v>
      </c>
      <c r="K15" s="28">
        <f t="shared" si="9"/>
        <v>3621.4652724466905</v>
      </c>
      <c r="L15" s="28">
        <f t="shared" si="10"/>
        <v>732.2019015396532</v>
      </c>
    </row>
    <row r="16" spans="1:12" ht="12.75">
      <c r="A16" s="6">
        <f t="shared" si="8"/>
        <v>36526</v>
      </c>
      <c r="B16" s="3">
        <f t="shared" si="0"/>
        <v>6</v>
      </c>
      <c r="C16" s="25">
        <f t="shared" si="1"/>
        <v>729.7342947385081</v>
      </c>
      <c r="D16" s="25">
        <f t="shared" si="2"/>
        <v>489.7444757828543</v>
      </c>
      <c r="E16" s="25">
        <f t="shared" si="3"/>
        <v>239.9898189556538</v>
      </c>
      <c r="F16" s="25">
        <f t="shared" si="4"/>
        <v>76582.67304894306</v>
      </c>
      <c r="G16" s="12">
        <f t="shared" si="5"/>
        <v>146.92334273485628</v>
      </c>
      <c r="H16" s="28">
        <f>IF(F15&lt;0.5,"",IF(OR(YEAR(A16)&lt;YEAR(A17),F16&lt;0.5),SUM($G$11:G16)-SUM($H$11:H15),""))</f>
      </c>
      <c r="I16" s="29">
        <f t="shared" si="6"/>
        <v>2961.078817374094</v>
      </c>
      <c r="J16" s="29">
        <f t="shared" si="7"/>
        <v>1417.3269510569548</v>
      </c>
      <c r="K16" s="28">
        <f t="shared" si="9"/>
        <v>4340.3486954465825</v>
      </c>
      <c r="L16" s="28">
        <f t="shared" si="10"/>
        <v>732.2019015396532</v>
      </c>
    </row>
    <row r="17" spans="1:12" ht="12.75">
      <c r="A17" s="6">
        <f t="shared" si="8"/>
        <v>36557</v>
      </c>
      <c r="B17" s="3">
        <f t="shared" si="0"/>
        <v>7</v>
      </c>
      <c r="C17" s="25">
        <f t="shared" si="1"/>
        <v>729.7342947385081</v>
      </c>
      <c r="D17" s="25">
        <f t="shared" si="2"/>
        <v>488.214540687012</v>
      </c>
      <c r="E17" s="25">
        <f t="shared" si="3"/>
        <v>241.51975405149608</v>
      </c>
      <c r="F17" s="25">
        <f t="shared" si="4"/>
        <v>76341.15329489157</v>
      </c>
      <c r="G17" s="12">
        <f t="shared" si="5"/>
        <v>146.4643622061036</v>
      </c>
      <c r="H17" s="28">
        <f>IF(F16&lt;0.5,"",IF(OR(YEAR(A17)&lt;YEAR(A18),F17&lt;0.5),SUM($G$11:G17)-SUM($H$11:H16),""))</f>
      </c>
      <c r="I17" s="29">
        <f t="shared" si="6"/>
        <v>3449.293358061106</v>
      </c>
      <c r="J17" s="29">
        <f t="shared" si="7"/>
        <v>1658.8467051084508</v>
      </c>
      <c r="K17" s="28">
        <f t="shared" si="9"/>
        <v>5057.439391705826</v>
      </c>
      <c r="L17" s="28">
        <f t="shared" si="10"/>
        <v>732.2019015396532</v>
      </c>
    </row>
    <row r="18" spans="1:12" ht="12.75">
      <c r="A18" s="6">
        <f t="shared" si="8"/>
        <v>36586</v>
      </c>
      <c r="B18" s="3">
        <f t="shared" si="0"/>
        <v>8</v>
      </c>
      <c r="C18" s="25">
        <f t="shared" si="1"/>
        <v>729.7342947385081</v>
      </c>
      <c r="D18" s="25">
        <f t="shared" si="2"/>
        <v>486.67485225493374</v>
      </c>
      <c r="E18" s="25">
        <f t="shared" si="3"/>
        <v>243.05944248357434</v>
      </c>
      <c r="F18" s="25">
        <f t="shared" si="4"/>
        <v>76098.093852408</v>
      </c>
      <c r="G18" s="12">
        <f t="shared" si="5"/>
        <v>146.0024556764801</v>
      </c>
      <c r="H18" s="28">
        <f>IF(F17&lt;0.5,"",IF(OR(YEAR(A18)&lt;YEAR(A19),F18&lt;0.5),SUM($G$11:G18)-SUM($H$11:H17),""))</f>
      </c>
      <c r="I18" s="29">
        <f t="shared" si="6"/>
        <v>3935.96821031604</v>
      </c>
      <c r="J18" s="29">
        <f t="shared" si="7"/>
        <v>1901.9061475920253</v>
      </c>
      <c r="K18" s="28">
        <f t="shared" si="9"/>
        <v>5772.741831864672</v>
      </c>
      <c r="L18" s="28">
        <f t="shared" si="10"/>
        <v>732.2019015396532</v>
      </c>
    </row>
    <row r="19" spans="1:12" ht="12.75">
      <c r="A19" s="6">
        <f t="shared" si="8"/>
        <v>36617</v>
      </c>
      <c r="B19" s="3">
        <f t="shared" si="0"/>
        <v>9</v>
      </c>
      <c r="C19" s="25">
        <f t="shared" si="1"/>
        <v>729.7342947385081</v>
      </c>
      <c r="D19" s="25">
        <f t="shared" si="2"/>
        <v>485.12534830910096</v>
      </c>
      <c r="E19" s="25">
        <f t="shared" si="3"/>
        <v>244.60894642940713</v>
      </c>
      <c r="F19" s="25">
        <f t="shared" si="4"/>
        <v>75853.48490597859</v>
      </c>
      <c r="G19" s="12">
        <f t="shared" si="5"/>
        <v>145.53760449273028</v>
      </c>
      <c r="H19" s="28">
        <f>IF(F18&lt;0.5,"",IF(OR(YEAR(A19)&lt;YEAR(A20),F19&lt;0.5),SUM($G$11:G19)-SUM($H$11:H18),""))</f>
      </c>
      <c r="I19" s="29">
        <f t="shared" si="6"/>
        <v>4421.093558625141</v>
      </c>
      <c r="J19" s="29">
        <f t="shared" si="7"/>
        <v>2146.5150940214326</v>
      </c>
      <c r="K19" s="28">
        <f t="shared" si="9"/>
        <v>6486.260475414644</v>
      </c>
      <c r="L19" s="28">
        <f t="shared" si="10"/>
        <v>732.2019015396532</v>
      </c>
    </row>
    <row r="20" spans="1:12" ht="12.75">
      <c r="A20" s="6">
        <f t="shared" si="8"/>
        <v>36647</v>
      </c>
      <c r="B20" s="3">
        <f t="shared" si="0"/>
        <v>10</v>
      </c>
      <c r="C20" s="25">
        <f t="shared" si="1"/>
        <v>729.7342947385081</v>
      </c>
      <c r="D20" s="25">
        <f t="shared" si="2"/>
        <v>483.5659662756135</v>
      </c>
      <c r="E20" s="25">
        <f t="shared" si="3"/>
        <v>246.16832846289458</v>
      </c>
      <c r="F20" s="25">
        <f t="shared" si="4"/>
        <v>75607.3165775157</v>
      </c>
      <c r="G20" s="12">
        <f t="shared" si="5"/>
        <v>145.06978988268403</v>
      </c>
      <c r="H20" s="28">
        <f>IF(F19&lt;0.5,"",IF(OR(YEAR(A20)&lt;YEAR(A21),F20&lt;0.5),SUM($G$11:G20)-SUM($H$11:H19),""))</f>
      </c>
      <c r="I20" s="29">
        <f t="shared" si="6"/>
        <v>4904.659524900754</v>
      </c>
      <c r="J20" s="29">
        <f t="shared" si="7"/>
        <v>2392.683422484327</v>
      </c>
      <c r="K20" s="28">
        <f t="shared" si="9"/>
        <v>7197.9997707263365</v>
      </c>
      <c r="L20" s="28">
        <f t="shared" si="10"/>
        <v>732.2019015396532</v>
      </c>
    </row>
    <row r="21" spans="1:12" ht="12.75">
      <c r="A21" s="6">
        <f t="shared" si="8"/>
        <v>36678</v>
      </c>
      <c r="B21" s="3">
        <f t="shared" si="0"/>
        <v>11</v>
      </c>
      <c r="C21" s="25">
        <f t="shared" si="1"/>
        <v>729.7342947385081</v>
      </c>
      <c r="D21" s="25">
        <f t="shared" si="2"/>
        <v>481.99664318166253</v>
      </c>
      <c r="E21" s="25">
        <f t="shared" si="3"/>
        <v>247.73765155684555</v>
      </c>
      <c r="F21" s="25">
        <f t="shared" si="4"/>
        <v>75359.57892595885</v>
      </c>
      <c r="G21" s="12">
        <f t="shared" si="5"/>
        <v>144.59899295449875</v>
      </c>
      <c r="H21" s="28">
        <f>IF(F20&lt;0.5,"",IF(OR(YEAR(A21)&lt;YEAR(A22),F21&lt;0.5),SUM($G$11:G21)-SUM($H$11:H20),""))</f>
      </c>
      <c r="I21" s="29">
        <f t="shared" si="6"/>
        <v>5386.656168082417</v>
      </c>
      <c r="J21" s="29">
        <f t="shared" si="7"/>
        <v>2640.4210740411727</v>
      </c>
      <c r="K21" s="28">
        <f t="shared" si="9"/>
        <v>7907.964155077152</v>
      </c>
      <c r="L21" s="28">
        <f t="shared" si="10"/>
        <v>732.2019015396532</v>
      </c>
    </row>
    <row r="22" spans="1:12" ht="12.75">
      <c r="A22" s="6">
        <f t="shared" si="8"/>
        <v>36708</v>
      </c>
      <c r="B22" s="3">
        <f t="shared" si="0"/>
        <v>12</v>
      </c>
      <c r="C22" s="25">
        <f t="shared" si="1"/>
        <v>729.7342947385081</v>
      </c>
      <c r="D22" s="25">
        <f t="shared" si="2"/>
        <v>480.4173156529876</v>
      </c>
      <c r="E22" s="25">
        <f t="shared" si="3"/>
        <v>249.31697908552047</v>
      </c>
      <c r="F22" s="25">
        <f t="shared" si="4"/>
        <v>75110.26194687333</v>
      </c>
      <c r="G22" s="12">
        <f t="shared" si="5"/>
        <v>144.12519469589628</v>
      </c>
      <c r="H22" s="28">
        <f>IF(F21&lt;0.5,"",IF(OR(YEAR(A22)&lt;YEAR(A23),F22&lt;0.5),SUM($G$11:G22)-SUM($H$11:H21),""))</f>
      </c>
      <c r="I22" s="29">
        <f t="shared" si="6"/>
        <v>5867.073483735405</v>
      </c>
      <c r="J22" s="29">
        <f t="shared" si="7"/>
        <v>2889.738053126693</v>
      </c>
      <c r="K22" s="28">
        <f t="shared" si="9"/>
        <v>8616.158054678963</v>
      </c>
      <c r="L22" s="28">
        <f t="shared" si="10"/>
        <v>732.2019015396532</v>
      </c>
    </row>
    <row r="23" spans="1:12" ht="12.75">
      <c r="A23" s="6">
        <f t="shared" si="8"/>
        <v>36739</v>
      </c>
      <c r="B23" s="3">
        <f t="shared" si="0"/>
        <v>13</v>
      </c>
      <c r="C23" s="25">
        <f t="shared" si="1"/>
        <v>729.7342947385081</v>
      </c>
      <c r="D23" s="25">
        <f t="shared" si="2"/>
        <v>478.82791991131745</v>
      </c>
      <c r="E23" s="25">
        <f t="shared" si="3"/>
        <v>250.90637482719063</v>
      </c>
      <c r="F23" s="25">
        <f t="shared" si="4"/>
        <v>74859.35557204614</v>
      </c>
      <c r="G23" s="12">
        <f t="shared" si="5"/>
        <v>143.64837597339522</v>
      </c>
      <c r="H23" s="28">
        <f>IF(F22&lt;0.5,"",IF(OR(YEAR(A23)&lt;YEAR(A24),F23&lt;0.5),SUM($G$11:G23)-SUM($H$11:H22),""))</f>
      </c>
      <c r="I23" s="29">
        <f t="shared" si="6"/>
        <v>6345.901403646722</v>
      </c>
      <c r="J23" s="29">
        <f t="shared" si="7"/>
        <v>3140.6444279538837</v>
      </c>
      <c r="K23" s="28">
        <f t="shared" si="9"/>
        <v>9322.585884705706</v>
      </c>
      <c r="L23" s="28">
        <f t="shared" si="10"/>
        <v>732.2019015396532</v>
      </c>
    </row>
    <row r="24" spans="1:12" ht="12.75">
      <c r="A24" s="6">
        <f t="shared" si="8"/>
        <v>36770</v>
      </c>
      <c r="B24" s="3">
        <f t="shared" si="0"/>
        <v>14</v>
      </c>
      <c r="C24" s="25">
        <f t="shared" si="1"/>
        <v>729.7342947385081</v>
      </c>
      <c r="D24" s="25">
        <f t="shared" si="2"/>
        <v>477.2283917717941</v>
      </c>
      <c r="E24" s="25">
        <f t="shared" si="3"/>
        <v>252.50590296671396</v>
      </c>
      <c r="F24" s="25">
        <f t="shared" si="4"/>
        <v>74606.84966907943</v>
      </c>
      <c r="G24" s="12">
        <f t="shared" si="5"/>
        <v>143.16851753153824</v>
      </c>
      <c r="H24" s="28">
        <f>IF(F23&lt;0.5,"",IF(OR(YEAR(A24)&lt;YEAR(A25),F24&lt;0.5),SUM($G$11:G24)-SUM($H$11:H23),""))</f>
      </c>
      <c r="I24" s="29">
        <f t="shared" si="6"/>
        <v>6823.129795418517</v>
      </c>
      <c r="J24" s="29">
        <f t="shared" si="7"/>
        <v>3393.1503309205978</v>
      </c>
      <c r="K24" s="28">
        <f t="shared" si="9"/>
        <v>10027.252049320912</v>
      </c>
      <c r="L24" s="28">
        <f t="shared" si="10"/>
        <v>732.2019015396532</v>
      </c>
    </row>
    <row r="25" spans="1:12" ht="12.75">
      <c r="A25" s="6">
        <f t="shared" si="8"/>
        <v>36800</v>
      </c>
      <c r="B25" s="3">
        <f t="shared" si="0"/>
        <v>15</v>
      </c>
      <c r="C25" s="25">
        <f t="shared" si="1"/>
        <v>729.7342947385081</v>
      </c>
      <c r="D25" s="25">
        <f t="shared" si="2"/>
        <v>475.6186666403813</v>
      </c>
      <c r="E25" s="25">
        <f t="shared" si="3"/>
        <v>254.11562809812676</v>
      </c>
      <c r="F25" s="25">
        <f t="shared" si="4"/>
        <v>74352.7340409813</v>
      </c>
      <c r="G25" s="12">
        <f t="shared" si="5"/>
        <v>142.6855999921144</v>
      </c>
      <c r="H25" s="28">
        <f>IF(F24&lt;0.5,"",IF(OR(YEAR(A25)&lt;YEAR(A26),F25&lt;0.5),SUM($G$11:G25)-SUM($H$11:H24),""))</f>
      </c>
      <c r="I25" s="29">
        <f t="shared" si="6"/>
        <v>7298.7484620588975</v>
      </c>
      <c r="J25" s="29">
        <f t="shared" si="7"/>
        <v>3647.2659590187245</v>
      </c>
      <c r="K25" s="28">
        <f t="shared" si="9"/>
        <v>10730.160941705159</v>
      </c>
      <c r="L25" s="28">
        <f t="shared" si="10"/>
        <v>732.2019015396532</v>
      </c>
    </row>
    <row r="26" spans="1:12" ht="12.75">
      <c r="A26" s="6">
        <f t="shared" si="8"/>
        <v>36831</v>
      </c>
      <c r="B26" s="3">
        <f t="shared" si="0"/>
        <v>16</v>
      </c>
      <c r="C26" s="25">
        <f t="shared" si="1"/>
        <v>729.7342947385081</v>
      </c>
      <c r="D26" s="25">
        <f t="shared" si="2"/>
        <v>473.9986795112558</v>
      </c>
      <c r="E26" s="25">
        <f t="shared" si="3"/>
        <v>255.7356152272523</v>
      </c>
      <c r="F26" s="25">
        <f t="shared" si="4"/>
        <v>74096.99842575405</v>
      </c>
      <c r="G26" s="12">
        <f t="shared" si="5"/>
        <v>142.19960385337671</v>
      </c>
      <c r="H26" s="28">
        <f>IF(F25&lt;0.5,"",IF(OR(YEAR(A26)&lt;YEAR(A27),F26&lt;0.5),SUM($G$11:G26)-SUM($H$11:H25),""))</f>
      </c>
      <c r="I26" s="29">
        <f t="shared" si="6"/>
        <v>7772.747141570153</v>
      </c>
      <c r="J26" s="29">
        <f t="shared" si="7"/>
        <v>3903.001574245977</v>
      </c>
      <c r="K26" s="28">
        <f t="shared" si="9"/>
        <v>11431.316944083459</v>
      </c>
      <c r="L26" s="28">
        <f t="shared" si="10"/>
        <v>732.2019015396532</v>
      </c>
    </row>
    <row r="27" spans="1:12" ht="12.75">
      <c r="A27" s="6">
        <f t="shared" si="8"/>
        <v>36861</v>
      </c>
      <c r="B27" s="3">
        <f t="shared" si="0"/>
        <v>17</v>
      </c>
      <c r="C27" s="25">
        <f t="shared" si="1"/>
        <v>729.7342947385081</v>
      </c>
      <c r="D27" s="25">
        <f t="shared" si="2"/>
        <v>472.36836496418204</v>
      </c>
      <c r="E27" s="25">
        <f t="shared" si="3"/>
        <v>257.36592977432605</v>
      </c>
      <c r="F27" s="25">
        <f t="shared" si="4"/>
        <v>73839.63249597972</v>
      </c>
      <c r="G27" s="12">
        <f t="shared" si="5"/>
        <v>141.7105094892546</v>
      </c>
      <c r="H27" s="28">
        <f>IF(F26&lt;0.5,"",IF(OR(YEAR(A27)&lt;YEAR(A28),F27&lt;0.5),SUM($G$11:G27)-SUM($H$11:H26),""))</f>
        <v>1732.1343494829284</v>
      </c>
      <c r="I27" s="29">
        <f t="shared" si="6"/>
        <v>8245.115506534336</v>
      </c>
      <c r="J27" s="29">
        <f t="shared" si="7"/>
        <v>4160.3675040203025</v>
      </c>
      <c r="K27" s="28">
        <f t="shared" si="9"/>
        <v>12130.724427752586</v>
      </c>
      <c r="L27" s="28">
        <f t="shared" si="10"/>
        <v>2392.3509934537606</v>
      </c>
    </row>
    <row r="28" spans="1:12" ht="12.75">
      <c r="A28" s="6">
        <f t="shared" si="8"/>
        <v>36892</v>
      </c>
      <c r="B28" s="3">
        <f aca="true" t="shared" si="11" ref="B28:B43">B27+1</f>
        <v>18</v>
      </c>
      <c r="C28" s="25">
        <f aca="true" t="shared" si="12" ref="C28:C43">IF(F27&gt;0.5,C27,"")</f>
        <v>729.7342947385081</v>
      </c>
      <c r="D28" s="25">
        <f aca="true" t="shared" si="13" ref="D28:D43">IF(F27&gt;0.5,$I$3*F27,"")</f>
        <v>470.7276571618707</v>
      </c>
      <c r="E28" s="25">
        <f aca="true" t="shared" si="14" ref="E28:E43">IF(F27&gt;0.5,C28-D28,"")</f>
        <v>259.0066375766374</v>
      </c>
      <c r="F28" s="25">
        <f aca="true" t="shared" si="15" ref="F28:F43">IF(F27&gt;0.5,F27-E28,0)</f>
        <v>73580.62585840309</v>
      </c>
      <c r="G28" s="12">
        <f t="shared" si="5"/>
        <v>141.2182971485612</v>
      </c>
      <c r="H28" s="28">
        <f>IF(F27&lt;0.5,"",IF(OR(YEAR(A28)&lt;YEAR(A29),F28&lt;0.5),SUM($G$11:G28)-SUM($H$11:H27),""))</f>
      </c>
      <c r="I28" s="29">
        <f aca="true" t="shared" si="16" ref="I28:I43">IF(F27&gt;0.5,I27+D28,"")</f>
        <v>8715.843163696207</v>
      </c>
      <c r="J28" s="29">
        <f aca="true" t="shared" si="17" ref="J28:J43">IF(F27&gt;0.5,J27+E28,"")</f>
        <v>4419.37414159694</v>
      </c>
      <c r="K28" s="28">
        <f t="shared" si="9"/>
        <v>12828.387753108324</v>
      </c>
      <c r="L28" s="28">
        <f t="shared" si="10"/>
        <v>2392.3509934537606</v>
      </c>
    </row>
    <row r="29" spans="1:12" ht="12.75">
      <c r="A29" s="6">
        <f t="shared" si="8"/>
        <v>36923</v>
      </c>
      <c r="B29" s="3">
        <f t="shared" si="11"/>
        <v>19</v>
      </c>
      <c r="C29" s="25">
        <f t="shared" si="12"/>
        <v>729.7342947385081</v>
      </c>
      <c r="D29" s="25">
        <f t="shared" si="13"/>
        <v>469.07648984731964</v>
      </c>
      <c r="E29" s="25">
        <f t="shared" si="14"/>
        <v>260.65780489118845</v>
      </c>
      <c r="F29" s="25">
        <f t="shared" si="15"/>
        <v>73319.9680535119</v>
      </c>
      <c r="G29" s="12">
        <f t="shared" si="5"/>
        <v>140.7229469541959</v>
      </c>
      <c r="H29" s="28">
        <f>IF(F28&lt;0.5,"",IF(OR(YEAR(A29)&lt;YEAR(A30),F29&lt;0.5),SUM($G$11:G29)-SUM($H$11:H28),""))</f>
      </c>
      <c r="I29" s="29">
        <f t="shared" si="16"/>
        <v>9184.919653543526</v>
      </c>
      <c r="J29" s="29">
        <f t="shared" si="17"/>
        <v>4680.031946488129</v>
      </c>
      <c r="K29" s="28">
        <f aca="true" t="shared" si="18" ref="K29:K44">IF(F28&gt;0.5,C29/(1+$I$4)^B29+K28,"")</f>
        <v>13524.311269672651</v>
      </c>
      <c r="L29" s="28">
        <f aca="true" t="shared" si="19" ref="L29:L44">IF(F28&lt;0.5,"",IF(H29="",L28,H29/(1+$I$4)^B29+L28))</f>
        <v>2392.3509934537606</v>
      </c>
    </row>
    <row r="30" spans="1:12" ht="12.75">
      <c r="A30" s="6">
        <f t="shared" si="8"/>
        <v>36951</v>
      </c>
      <c r="B30" s="3">
        <f t="shared" si="11"/>
        <v>20</v>
      </c>
      <c r="C30" s="25">
        <f t="shared" si="12"/>
        <v>729.7342947385081</v>
      </c>
      <c r="D30" s="25">
        <f t="shared" si="13"/>
        <v>467.4147963411383</v>
      </c>
      <c r="E30" s="25">
        <f t="shared" si="14"/>
        <v>262.3194983973698</v>
      </c>
      <c r="F30" s="25">
        <f t="shared" si="15"/>
        <v>73057.64855511453</v>
      </c>
      <c r="G30" s="12">
        <f t="shared" si="5"/>
        <v>140.2244389023415</v>
      </c>
      <c r="H30" s="28">
        <f>IF(F29&lt;0.5,"",IF(OR(YEAR(A30)&lt;YEAR(A31),F30&lt;0.5),SUM($G$11:G30)-SUM($H$11:H29),""))</f>
      </c>
      <c r="I30" s="29">
        <f t="shared" si="16"/>
        <v>9652.334449884664</v>
      </c>
      <c r="J30" s="29">
        <f t="shared" si="17"/>
        <v>4942.3514448854985</v>
      </c>
      <c r="K30" s="28">
        <f t="shared" si="18"/>
        <v>14218.499316120859</v>
      </c>
      <c r="L30" s="28">
        <f t="shared" si="19"/>
        <v>2392.3509934537606</v>
      </c>
    </row>
    <row r="31" spans="1:12" ht="12.75">
      <c r="A31" s="6">
        <f t="shared" si="8"/>
        <v>36982</v>
      </c>
      <c r="B31" s="3">
        <f t="shared" si="11"/>
        <v>21</v>
      </c>
      <c r="C31" s="25">
        <f t="shared" si="12"/>
        <v>729.7342947385081</v>
      </c>
      <c r="D31" s="25">
        <f t="shared" si="13"/>
        <v>465.7425095388551</v>
      </c>
      <c r="E31" s="25">
        <f t="shared" si="14"/>
        <v>263.991785199653</v>
      </c>
      <c r="F31" s="25">
        <f t="shared" si="15"/>
        <v>72793.65676991487</v>
      </c>
      <c r="G31" s="12">
        <f t="shared" si="5"/>
        <v>139.72275286165652</v>
      </c>
      <c r="H31" s="28">
        <f>IF(F30&lt;0.5,"",IF(OR(YEAR(A31)&lt;YEAR(A32),F31&lt;0.5),SUM($G$11:G31)-SUM($H$11:H30),""))</f>
      </c>
      <c r="I31" s="29">
        <f t="shared" si="16"/>
        <v>10118.076959423519</v>
      </c>
      <c r="J31" s="29">
        <f t="shared" si="17"/>
        <v>5206.343230085152</v>
      </c>
      <c r="K31" s="28">
        <f t="shared" si="18"/>
        <v>14910.956220308595</v>
      </c>
      <c r="L31" s="28">
        <f t="shared" si="19"/>
        <v>2392.3509934537606</v>
      </c>
    </row>
    <row r="32" spans="1:12" ht="12.75">
      <c r="A32" s="6">
        <f t="shared" si="8"/>
        <v>37012</v>
      </c>
      <c r="B32" s="3">
        <f t="shared" si="11"/>
        <v>22</v>
      </c>
      <c r="C32" s="25">
        <f t="shared" si="12"/>
        <v>729.7342947385081</v>
      </c>
      <c r="D32" s="25">
        <f t="shared" si="13"/>
        <v>464.0595619082073</v>
      </c>
      <c r="E32" s="25">
        <f t="shared" si="14"/>
        <v>265.6747328303008</v>
      </c>
      <c r="F32" s="25">
        <f t="shared" si="15"/>
        <v>72527.98203708457</v>
      </c>
      <c r="G32" s="12">
        <f t="shared" si="5"/>
        <v>139.21786857246218</v>
      </c>
      <c r="H32" s="28">
        <f>IF(F31&lt;0.5,"",IF(OR(YEAR(A32)&lt;YEAR(A33),F32&lt;0.5),SUM($G$11:G32)-SUM($H$11:H31),""))</f>
      </c>
      <c r="I32" s="29">
        <f t="shared" si="16"/>
        <v>10582.136521331726</v>
      </c>
      <c r="J32" s="29">
        <f t="shared" si="17"/>
        <v>5472.017962915453</v>
      </c>
      <c r="K32" s="28">
        <f t="shared" si="18"/>
        <v>15601.686299298857</v>
      </c>
      <c r="L32" s="28">
        <f t="shared" si="19"/>
        <v>2392.3509934537606</v>
      </c>
    </row>
    <row r="33" spans="1:12" ht="12.75">
      <c r="A33" s="6">
        <f t="shared" si="8"/>
        <v>37043</v>
      </c>
      <c r="B33" s="3">
        <f t="shared" si="11"/>
        <v>23</v>
      </c>
      <c r="C33" s="25">
        <f t="shared" si="12"/>
        <v>729.7342947385081</v>
      </c>
      <c r="D33" s="25">
        <f t="shared" si="13"/>
        <v>462.36588548641413</v>
      </c>
      <c r="E33" s="25">
        <f t="shared" si="14"/>
        <v>267.36840925209395</v>
      </c>
      <c r="F33" s="25">
        <f t="shared" si="15"/>
        <v>72260.61362783247</v>
      </c>
      <c r="G33" s="12">
        <f t="shared" si="5"/>
        <v>138.70976564592422</v>
      </c>
      <c r="H33" s="28">
        <f>IF(F32&lt;0.5,"",IF(OR(YEAR(A33)&lt;YEAR(A34),F33&lt;0.5),SUM($G$11:G33)-SUM($H$11:H32),""))</f>
      </c>
      <c r="I33" s="29">
        <f t="shared" si="16"/>
        <v>11044.50240681814</v>
      </c>
      <c r="J33" s="29">
        <f t="shared" si="17"/>
        <v>5739.386372167547</v>
      </c>
      <c r="K33" s="28">
        <f t="shared" si="18"/>
        <v>16290.693859388894</v>
      </c>
      <c r="L33" s="28">
        <f t="shared" si="19"/>
        <v>2392.3509934537606</v>
      </c>
    </row>
    <row r="34" spans="1:12" ht="12.75">
      <c r="A34" s="6">
        <f t="shared" si="8"/>
        <v>37073</v>
      </c>
      <c r="B34" s="3">
        <f t="shared" si="11"/>
        <v>24</v>
      </c>
      <c r="C34" s="25">
        <f t="shared" si="12"/>
        <v>729.7342947385081</v>
      </c>
      <c r="D34" s="25">
        <f t="shared" si="13"/>
        <v>460.661411877432</v>
      </c>
      <c r="E34" s="25">
        <f t="shared" si="14"/>
        <v>269.0728828610761</v>
      </c>
      <c r="F34" s="25">
        <f t="shared" si="15"/>
        <v>71991.5407449714</v>
      </c>
      <c r="G34" s="12">
        <f t="shared" si="5"/>
        <v>138.1984235632296</v>
      </c>
      <c r="H34" s="28">
        <f>IF(F33&lt;0.5,"",IF(OR(YEAR(A34)&lt;YEAR(A35),F34&lt;0.5),SUM($G$11:G34)-SUM($H$11:H33),""))</f>
      </c>
      <c r="I34" s="29">
        <f t="shared" si="16"/>
        <v>11505.163818695572</v>
      </c>
      <c r="J34" s="29">
        <f t="shared" si="17"/>
        <v>6008.459255028623</v>
      </c>
      <c r="K34" s="28">
        <f t="shared" si="18"/>
        <v>16977.98319613706</v>
      </c>
      <c r="L34" s="28">
        <f t="shared" si="19"/>
        <v>2392.3509934537606</v>
      </c>
    </row>
    <row r="35" spans="1:12" ht="12.75">
      <c r="A35" s="6">
        <f t="shared" si="8"/>
        <v>37104</v>
      </c>
      <c r="B35" s="3">
        <f t="shared" si="11"/>
        <v>25</v>
      </c>
      <c r="C35" s="25">
        <f t="shared" si="12"/>
        <v>729.7342947385081</v>
      </c>
      <c r="D35" s="25">
        <f t="shared" si="13"/>
        <v>458.94607224919264</v>
      </c>
      <c r="E35" s="25">
        <f t="shared" si="14"/>
        <v>270.78822248931544</v>
      </c>
      <c r="F35" s="25">
        <f t="shared" si="15"/>
        <v>71720.75252248209</v>
      </c>
      <c r="G35" s="12">
        <f t="shared" si="5"/>
        <v>137.68382167475778</v>
      </c>
      <c r="H35" s="28">
        <f>IF(F34&lt;0.5,"",IF(OR(YEAR(A35)&lt;YEAR(A36),F35&lt;0.5),SUM($G$11:G35)-SUM($H$11:H34),""))</f>
      </c>
      <c r="I35" s="29">
        <f t="shared" si="16"/>
        <v>11964.109890944765</v>
      </c>
      <c r="J35" s="29">
        <f t="shared" si="17"/>
        <v>6279.247477517939</v>
      </c>
      <c r="K35" s="28">
        <f t="shared" si="18"/>
        <v>17663.558594389593</v>
      </c>
      <c r="L35" s="28">
        <f t="shared" si="19"/>
        <v>2392.3509934537606</v>
      </c>
    </row>
    <row r="36" spans="1:12" ht="12.75">
      <c r="A36" s="6">
        <f t="shared" si="8"/>
        <v>37135</v>
      </c>
      <c r="B36" s="3">
        <f t="shared" si="11"/>
        <v>26</v>
      </c>
      <c r="C36" s="25">
        <f t="shared" si="12"/>
        <v>729.7342947385081</v>
      </c>
      <c r="D36" s="25">
        <f t="shared" si="13"/>
        <v>457.21979733082327</v>
      </c>
      <c r="E36" s="25">
        <f t="shared" si="14"/>
        <v>272.5144974076848</v>
      </c>
      <c r="F36" s="25">
        <f t="shared" si="15"/>
        <v>71448.2380250744</v>
      </c>
      <c r="G36" s="12">
        <f t="shared" si="5"/>
        <v>137.16593919924696</v>
      </c>
      <c r="H36" s="28">
        <f>IF(F35&lt;0.5,"",IF(OR(YEAR(A36)&lt;YEAR(A37),F36&lt;0.5),SUM($G$11:G36)-SUM($H$11:H35),""))</f>
      </c>
      <c r="I36" s="29">
        <f t="shared" si="16"/>
        <v>12421.329688275588</v>
      </c>
      <c r="J36" s="29">
        <f t="shared" si="17"/>
        <v>6551.761974925624</v>
      </c>
      <c r="K36" s="28">
        <f t="shared" si="18"/>
        <v>18347.424328307334</v>
      </c>
      <c r="L36" s="28">
        <f t="shared" si="19"/>
        <v>2392.3509934537606</v>
      </c>
    </row>
    <row r="37" spans="1:12" ht="12.75">
      <c r="A37" s="6">
        <f t="shared" si="8"/>
        <v>37165</v>
      </c>
      <c r="B37" s="3">
        <f t="shared" si="11"/>
        <v>27</v>
      </c>
      <c r="C37" s="25">
        <f t="shared" si="12"/>
        <v>729.7342947385081</v>
      </c>
      <c r="D37" s="25">
        <f t="shared" si="13"/>
        <v>455.48251740984927</v>
      </c>
      <c r="E37" s="25">
        <f t="shared" si="14"/>
        <v>274.2517773286588</v>
      </c>
      <c r="F37" s="25">
        <f t="shared" si="15"/>
        <v>71173.98624774575</v>
      </c>
      <c r="G37" s="12">
        <f t="shared" si="5"/>
        <v>136.64475522295479</v>
      </c>
      <c r="H37" s="28">
        <f>IF(F36&lt;0.5,"",IF(OR(YEAR(A37)&lt;YEAR(A38),F37&lt;0.5),SUM($G$11:G37)-SUM($H$11:H36),""))</f>
      </c>
      <c r="I37" s="29">
        <f t="shared" si="16"/>
        <v>12876.812205685437</v>
      </c>
      <c r="J37" s="29">
        <f t="shared" si="17"/>
        <v>6826.013752254283</v>
      </c>
      <c r="K37" s="28">
        <f t="shared" si="18"/>
        <v>19029.58466139236</v>
      </c>
      <c r="L37" s="28">
        <f t="shared" si="19"/>
        <v>2392.3509934537606</v>
      </c>
    </row>
    <row r="38" spans="1:12" ht="12.75">
      <c r="A38" s="6">
        <f t="shared" si="8"/>
        <v>37196</v>
      </c>
      <c r="B38" s="3">
        <f t="shared" si="11"/>
        <v>28</v>
      </c>
      <c r="C38" s="25">
        <f t="shared" si="12"/>
        <v>729.7342947385081</v>
      </c>
      <c r="D38" s="25">
        <f t="shared" si="13"/>
        <v>453.7341623293791</v>
      </c>
      <c r="E38" s="25">
        <f t="shared" si="14"/>
        <v>276.000132409129</v>
      </c>
      <c r="F38" s="25">
        <f t="shared" si="15"/>
        <v>70897.98611533662</v>
      </c>
      <c r="G38" s="12">
        <f t="shared" si="5"/>
        <v>136.12024869881373</v>
      </c>
      <c r="H38" s="28">
        <f>IF(F37&lt;0.5,"",IF(OR(YEAR(A38)&lt;YEAR(A39),F38&lt;0.5),SUM($G$11:G38)-SUM($H$11:H37),""))</f>
      </c>
      <c r="I38" s="29">
        <f t="shared" si="16"/>
        <v>13330.546368014817</v>
      </c>
      <c r="J38" s="29">
        <f t="shared" si="17"/>
        <v>7102.013884663412</v>
      </c>
      <c r="K38" s="28">
        <f t="shared" si="18"/>
        <v>19710.04384651458</v>
      </c>
      <c r="L38" s="28">
        <f t="shared" si="19"/>
        <v>2392.3509934537606</v>
      </c>
    </row>
    <row r="39" spans="1:12" ht="12.75">
      <c r="A39" s="6">
        <f t="shared" si="8"/>
        <v>37226</v>
      </c>
      <c r="B39" s="3">
        <f t="shared" si="11"/>
        <v>29</v>
      </c>
      <c r="C39" s="25">
        <f t="shared" si="12"/>
        <v>729.7342947385081</v>
      </c>
      <c r="D39" s="25">
        <f t="shared" si="13"/>
        <v>451.97466148527093</v>
      </c>
      <c r="E39" s="25">
        <f t="shared" si="14"/>
        <v>277.75963325323715</v>
      </c>
      <c r="F39" s="25">
        <f t="shared" si="15"/>
        <v>70620.22648208338</v>
      </c>
      <c r="G39" s="12">
        <f t="shared" si="5"/>
        <v>135.59239844558127</v>
      </c>
      <c r="H39" s="28">
        <f>IF(F38&lt;0.5,"",IF(OR(YEAR(A39)&lt;YEAR(A40),F39&lt;0.5),SUM($G$11:G39)-SUM($H$11:H38),""))</f>
        <v>1661.2216568897252</v>
      </c>
      <c r="I39" s="29">
        <f t="shared" si="16"/>
        <v>13782.521029500087</v>
      </c>
      <c r="J39" s="29">
        <f t="shared" si="17"/>
        <v>7379.773517916649</v>
      </c>
      <c r="K39" s="28">
        <f t="shared" si="18"/>
        <v>20388.806125938245</v>
      </c>
      <c r="L39" s="28">
        <f t="shared" si="19"/>
        <v>3937.5361472671466</v>
      </c>
    </row>
    <row r="40" spans="1:12" ht="12.75">
      <c r="A40" s="6">
        <f t="shared" si="8"/>
        <v>37257</v>
      </c>
      <c r="B40" s="19">
        <f t="shared" si="11"/>
        <v>30</v>
      </c>
      <c r="C40" s="26">
        <f t="shared" si="12"/>
        <v>729.7342947385081</v>
      </c>
      <c r="D40" s="26">
        <f t="shared" si="13"/>
        <v>450.2039438232815</v>
      </c>
      <c r="E40" s="26">
        <f t="shared" si="14"/>
        <v>279.53035091522656</v>
      </c>
      <c r="F40" s="26">
        <f t="shared" si="15"/>
        <v>70340.69613116815</v>
      </c>
      <c r="G40" s="21">
        <f t="shared" si="5"/>
        <v>135.06118314698446</v>
      </c>
      <c r="H40" s="28">
        <f>IF(F39&lt;0.5,"",IF(OR(YEAR(A40)&lt;YEAR(A41),F40&lt;0.5),SUM($G$11:G40)-SUM($H$11:H39),""))</f>
      </c>
      <c r="I40" s="30">
        <f t="shared" si="16"/>
        <v>14232.72497332337</v>
      </c>
      <c r="J40" s="30">
        <f t="shared" si="17"/>
        <v>7659.303868831876</v>
      </c>
      <c r="K40" s="31">
        <f t="shared" si="18"/>
        <v>21065.875731348384</v>
      </c>
      <c r="L40" s="28">
        <f t="shared" si="19"/>
        <v>3937.5361472671466</v>
      </c>
    </row>
    <row r="41" spans="1:12" ht="12.75">
      <c r="A41" s="6">
        <f t="shared" si="8"/>
        <v>37288</v>
      </c>
      <c r="B41" s="19">
        <f t="shared" si="11"/>
        <v>31</v>
      </c>
      <c r="C41" s="26">
        <f t="shared" si="12"/>
        <v>729.7342947385081</v>
      </c>
      <c r="D41" s="26">
        <f t="shared" si="13"/>
        <v>448.42193783619695</v>
      </c>
      <c r="E41" s="26">
        <f t="shared" si="14"/>
        <v>281.31235690231114</v>
      </c>
      <c r="F41" s="26">
        <f t="shared" si="15"/>
        <v>70059.38377426584</v>
      </c>
      <c r="G41" s="21">
        <f t="shared" si="5"/>
        <v>134.5265813508591</v>
      </c>
      <c r="H41" s="28">
        <f>IF(F40&lt;0.5,"",IF(OR(YEAR(A41)&lt;YEAR(A42),F41&lt;0.5),SUM($G$11:G41)-SUM($H$11:H40),""))</f>
      </c>
      <c r="I41" s="30">
        <f t="shared" si="16"/>
        <v>14681.146911159567</v>
      </c>
      <c r="J41" s="30">
        <f t="shared" si="17"/>
        <v>7940.616225734187</v>
      </c>
      <c r="K41" s="31">
        <f t="shared" si="18"/>
        <v>21741.2568838772</v>
      </c>
      <c r="L41" s="28">
        <f t="shared" si="19"/>
        <v>3937.5361472671466</v>
      </c>
    </row>
    <row r="42" spans="1:12" ht="12.75">
      <c r="A42" s="6">
        <f t="shared" si="8"/>
        <v>37316</v>
      </c>
      <c r="B42" s="19">
        <f t="shared" si="11"/>
        <v>32</v>
      </c>
      <c r="C42" s="26">
        <f t="shared" si="12"/>
        <v>729.7342947385081</v>
      </c>
      <c r="D42" s="26">
        <f t="shared" si="13"/>
        <v>446.6285715609447</v>
      </c>
      <c r="E42" s="26">
        <f t="shared" si="14"/>
        <v>283.1057231775634</v>
      </c>
      <c r="F42" s="26">
        <f t="shared" si="15"/>
        <v>69776.27805108827</v>
      </c>
      <c r="G42" s="21">
        <f t="shared" si="5"/>
        <v>133.9885714682834</v>
      </c>
      <c r="H42" s="28">
        <f>IF(F41&lt;0.5,"",IF(OR(YEAR(A42)&lt;YEAR(A43),F42&lt;0.5),SUM($G$11:G42)-SUM($H$11:H41),""))</f>
      </c>
      <c r="I42" s="30">
        <f t="shared" si="16"/>
        <v>15127.775482720512</v>
      </c>
      <c r="J42" s="30">
        <f t="shared" si="17"/>
        <v>8223.72194891175</v>
      </c>
      <c r="K42" s="31">
        <f t="shared" si="18"/>
        <v>22414.953794130382</v>
      </c>
      <c r="L42" s="28">
        <f t="shared" si="19"/>
        <v>3937.5361472671466</v>
      </c>
    </row>
    <row r="43" spans="1:12" ht="12.75">
      <c r="A43" s="6">
        <f t="shared" si="8"/>
        <v>37347</v>
      </c>
      <c r="B43" s="19">
        <f t="shared" si="11"/>
        <v>33</v>
      </c>
      <c r="C43" s="26">
        <f t="shared" si="12"/>
        <v>729.7342947385081</v>
      </c>
      <c r="D43" s="26">
        <f t="shared" si="13"/>
        <v>444.8237725756877</v>
      </c>
      <c r="E43" s="26">
        <f t="shared" si="14"/>
        <v>284.91052216282037</v>
      </c>
      <c r="F43" s="26">
        <f t="shared" si="15"/>
        <v>69491.36752892545</v>
      </c>
      <c r="G43" s="21">
        <f t="shared" si="5"/>
        <v>133.4471317727063</v>
      </c>
      <c r="H43" s="28">
        <f>IF(F42&lt;0.5,"",IF(OR(YEAR(A43)&lt;YEAR(A44),F43&lt;0.5),SUM($G$11:G43)-SUM($H$11:H42),""))</f>
      </c>
      <c r="I43" s="30">
        <f t="shared" si="16"/>
        <v>15572.5992552962</v>
      </c>
      <c r="J43" s="30">
        <f t="shared" si="17"/>
        <v>8508.63247107457</v>
      </c>
      <c r="K43" s="31">
        <f t="shared" si="18"/>
        <v>23086.97066221336</v>
      </c>
      <c r="L43" s="28">
        <f t="shared" si="19"/>
        <v>3937.5361472671466</v>
      </c>
    </row>
    <row r="44" spans="1:12" ht="12.75">
      <c r="A44" s="6">
        <f t="shared" si="8"/>
        <v>37377</v>
      </c>
      <c r="B44" s="19">
        <f aca="true" t="shared" si="20" ref="B44:B59">B43+1</f>
        <v>34</v>
      </c>
      <c r="C44" s="26">
        <f aca="true" t="shared" si="21" ref="C44:C59">IF(F43&gt;0.5,C43,"")</f>
        <v>729.7342947385081</v>
      </c>
      <c r="D44" s="26">
        <f aca="true" t="shared" si="22" ref="D44:D59">IF(F43&gt;0.5,$I$3*F43,"")</f>
        <v>443.00746799689966</v>
      </c>
      <c r="E44" s="26">
        <f aca="true" t="shared" si="23" ref="E44:E59">IF(F43&gt;0.5,C44-D44,"")</f>
        <v>286.7268267416084</v>
      </c>
      <c r="F44" s="26">
        <f aca="true" t="shared" si="24" ref="F44:F59">IF(F43&gt;0.5,F43-E44,0)</f>
        <v>69204.64070218384</v>
      </c>
      <c r="G44" s="21">
        <f aca="true" t="shared" si="25" ref="G44:G75">IF(F43&gt;0.5,D44*$I$5,"")</f>
        <v>132.90224039906988</v>
      </c>
      <c r="H44" s="28">
        <f>IF(F43&lt;0.5,"",IF(OR(YEAR(A44)&lt;YEAR(A45),F44&lt;0.5),SUM($G$11:G44)-SUM($H$11:H43),""))</f>
      </c>
      <c r="I44" s="30">
        <f aca="true" t="shared" si="26" ref="I44:I59">IF(F43&gt;0.5,I43+D44,"")</f>
        <v>16015.6067232931</v>
      </c>
      <c r="J44" s="30">
        <f aca="true" t="shared" si="27" ref="J44:J59">IF(F43&gt;0.5,J43+E44,"")</f>
        <v>8795.35929781618</v>
      </c>
      <c r="K44" s="31">
        <f t="shared" si="18"/>
        <v>23757.311677757476</v>
      </c>
      <c r="L44" s="28">
        <f t="shared" si="19"/>
        <v>3937.5361472671466</v>
      </c>
    </row>
    <row r="45" spans="1:12" ht="12.75">
      <c r="A45" s="6">
        <f t="shared" si="8"/>
        <v>37408</v>
      </c>
      <c r="B45" s="19">
        <f t="shared" si="20"/>
        <v>35</v>
      </c>
      <c r="C45" s="26">
        <f t="shared" si="21"/>
        <v>729.7342947385081</v>
      </c>
      <c r="D45" s="26">
        <f t="shared" si="22"/>
        <v>441.17958447642195</v>
      </c>
      <c r="E45" s="26">
        <f t="shared" si="23"/>
        <v>288.55471026208613</v>
      </c>
      <c r="F45" s="26">
        <f t="shared" si="24"/>
        <v>68916.08599192175</v>
      </c>
      <c r="G45" s="21">
        <f t="shared" si="25"/>
        <v>132.35387534292659</v>
      </c>
      <c r="H45" s="28">
        <f>IF(F44&lt;0.5,"",IF(OR(YEAR(A45)&lt;YEAR(A46),F45&lt;0.5),SUM($G$11:G45)-SUM($H$11:H44),""))</f>
      </c>
      <c r="I45" s="30">
        <f t="shared" si="26"/>
        <v>16456.786307769522</v>
      </c>
      <c r="J45" s="30">
        <f t="shared" si="27"/>
        <v>9083.914008078265</v>
      </c>
      <c r="K45" s="31">
        <f aca="true" t="shared" si="28" ref="K45:K60">IF(F44&gt;0.5,C45/(1+$I$4)^B45+K44,"")</f>
        <v>24425.98101994612</v>
      </c>
      <c r="L45" s="28">
        <f aca="true" t="shared" si="29" ref="L45:L60">IF(F44&lt;0.5,"",IF(H45="",L44,H45/(1+$I$4)^B45+L44))</f>
        <v>3937.5361472671466</v>
      </c>
    </row>
    <row r="46" spans="1:12" ht="12.75">
      <c r="A46" s="6">
        <f t="shared" si="8"/>
        <v>37438</v>
      </c>
      <c r="B46" s="19">
        <f t="shared" si="20"/>
        <v>36</v>
      </c>
      <c r="C46" s="26">
        <f t="shared" si="21"/>
        <v>729.7342947385081</v>
      </c>
      <c r="D46" s="26">
        <f t="shared" si="22"/>
        <v>439.3400481985011</v>
      </c>
      <c r="E46" s="26">
        <f t="shared" si="23"/>
        <v>290.394246540007</v>
      </c>
      <c r="F46" s="26">
        <f t="shared" si="24"/>
        <v>68625.69174538174</v>
      </c>
      <c r="G46" s="21">
        <f t="shared" si="25"/>
        <v>131.80201445955032</v>
      </c>
      <c r="H46" s="28">
        <f>IF(F45&lt;0.5,"",IF(OR(YEAR(A46)&lt;YEAR(A47),F46&lt;0.5),SUM($G$11:G46)-SUM($H$11:H45),""))</f>
      </c>
      <c r="I46" s="30">
        <f t="shared" si="26"/>
        <v>16896.126355968023</v>
      </c>
      <c r="J46" s="30">
        <f t="shared" si="27"/>
        <v>9374.308254618272</v>
      </c>
      <c r="K46" s="31">
        <f t="shared" si="28"/>
        <v>25092.982857540777</v>
      </c>
      <c r="L46" s="28">
        <f t="shared" si="29"/>
        <v>3937.5361472671466</v>
      </c>
    </row>
    <row r="47" spans="1:12" ht="12.75">
      <c r="A47" s="6">
        <f t="shared" si="8"/>
        <v>37469</v>
      </c>
      <c r="B47" s="19">
        <f t="shared" si="20"/>
        <v>37</v>
      </c>
      <c r="C47" s="26">
        <f t="shared" si="21"/>
        <v>729.7342947385081</v>
      </c>
      <c r="D47" s="26">
        <f t="shared" si="22"/>
        <v>437.4887848768086</v>
      </c>
      <c r="E47" s="26">
        <f t="shared" si="23"/>
        <v>292.2455098616995</v>
      </c>
      <c r="F47" s="26">
        <f t="shared" si="24"/>
        <v>68333.44623552004</v>
      </c>
      <c r="G47" s="21">
        <f t="shared" si="25"/>
        <v>131.24663546304257</v>
      </c>
      <c r="H47" s="28">
        <f>IF(F46&lt;0.5,"",IF(OR(YEAR(A47)&lt;YEAR(A48),F47&lt;0.5),SUM($G$11:G47)-SUM($H$11:H46),""))</f>
      </c>
      <c r="I47" s="30">
        <f t="shared" si="26"/>
        <v>17333.61514084483</v>
      </c>
      <c r="J47" s="30">
        <f t="shared" si="27"/>
        <v>9666.553764479972</v>
      </c>
      <c r="K47" s="31">
        <f t="shared" si="28"/>
        <v>25758.32134890702</v>
      </c>
      <c r="L47" s="28">
        <f t="shared" si="29"/>
        <v>3937.5361472671466</v>
      </c>
    </row>
    <row r="48" spans="1:12" ht="12.75">
      <c r="A48" s="6">
        <f t="shared" si="8"/>
        <v>37500</v>
      </c>
      <c r="B48" s="19">
        <f t="shared" si="20"/>
        <v>38</v>
      </c>
      <c r="C48" s="26">
        <f t="shared" si="21"/>
        <v>729.7342947385081</v>
      </c>
      <c r="D48" s="26">
        <f t="shared" si="22"/>
        <v>435.6257197514402</v>
      </c>
      <c r="E48" s="26">
        <f t="shared" si="23"/>
        <v>294.10857498706787</v>
      </c>
      <c r="F48" s="26">
        <f t="shared" si="24"/>
        <v>68039.33766053297</v>
      </c>
      <c r="G48" s="21">
        <f t="shared" si="25"/>
        <v>130.68771592543206</v>
      </c>
      <c r="H48" s="28">
        <f>IF(F47&lt;0.5,"",IF(OR(YEAR(A48)&lt;YEAR(A49),F48&lt;0.5),SUM($G$11:G48)-SUM($H$11:H47),""))</f>
      </c>
      <c r="I48" s="30">
        <f t="shared" si="26"/>
        <v>17769.24086059627</v>
      </c>
      <c r="J48" s="30">
        <f t="shared" si="27"/>
        <v>9960.662339467039</v>
      </c>
      <c r="K48" s="31">
        <f t="shared" si="28"/>
        <v>26422.000642040428</v>
      </c>
      <c r="L48" s="28">
        <f t="shared" si="29"/>
        <v>3937.5361472671466</v>
      </c>
    </row>
    <row r="49" spans="1:12" ht="12.75">
      <c r="A49" s="6">
        <f t="shared" si="8"/>
        <v>37530</v>
      </c>
      <c r="B49" s="19">
        <f t="shared" si="20"/>
        <v>39</v>
      </c>
      <c r="C49" s="26">
        <f t="shared" si="21"/>
        <v>729.7342947385081</v>
      </c>
      <c r="D49" s="26">
        <f t="shared" si="22"/>
        <v>433.75077758589765</v>
      </c>
      <c r="E49" s="26">
        <f t="shared" si="23"/>
        <v>295.98351715261043</v>
      </c>
      <c r="F49" s="26">
        <f t="shared" si="24"/>
        <v>67743.35414338036</v>
      </c>
      <c r="G49" s="21">
        <f t="shared" si="25"/>
        <v>130.1252332757693</v>
      </c>
      <c r="H49" s="28">
        <f>IF(F48&lt;0.5,"",IF(OR(YEAR(A49)&lt;YEAR(A50),F49&lt;0.5),SUM($G$11:G49)-SUM($H$11:H48),""))</f>
      </c>
      <c r="I49" s="30">
        <f t="shared" si="26"/>
        <v>18202.991638182168</v>
      </c>
      <c r="J49" s="30">
        <f t="shared" si="27"/>
        <v>10256.645856619649</v>
      </c>
      <c r="K49" s="31">
        <f t="shared" si="28"/>
        <v>27084.024874592455</v>
      </c>
      <c r="L49" s="28">
        <f t="shared" si="29"/>
        <v>3937.5361472671466</v>
      </c>
    </row>
    <row r="50" spans="1:12" ht="12.75">
      <c r="A50" s="6">
        <f t="shared" si="8"/>
        <v>37561</v>
      </c>
      <c r="B50" s="19">
        <f t="shared" si="20"/>
        <v>40</v>
      </c>
      <c r="C50" s="26">
        <f t="shared" si="21"/>
        <v>729.7342947385081</v>
      </c>
      <c r="D50" s="26">
        <f t="shared" si="22"/>
        <v>431.86388266404975</v>
      </c>
      <c r="E50" s="26">
        <f t="shared" si="23"/>
        <v>297.87041207445833</v>
      </c>
      <c r="F50" s="26">
        <f t="shared" si="24"/>
        <v>67445.48373130591</v>
      </c>
      <c r="G50" s="21">
        <f t="shared" si="25"/>
        <v>129.55916479921493</v>
      </c>
      <c r="H50" s="28">
        <f>IF(F49&lt;0.5,"",IF(OR(YEAR(A50)&lt;YEAR(A51),F50&lt;0.5),SUM($G$11:G50)-SUM($H$11:H49),""))</f>
      </c>
      <c r="I50" s="30">
        <f t="shared" si="26"/>
        <v>18634.855520846217</v>
      </c>
      <c r="J50" s="30">
        <f t="shared" si="27"/>
        <v>10554.516268694108</v>
      </c>
      <c r="K50" s="31">
        <f t="shared" si="28"/>
        <v>27744.398173896225</v>
      </c>
      <c r="L50" s="28">
        <f t="shared" si="29"/>
        <v>3937.5361472671466</v>
      </c>
    </row>
    <row r="51" spans="1:12" ht="12.75">
      <c r="A51" s="6">
        <f t="shared" si="8"/>
        <v>37591</v>
      </c>
      <c r="B51" s="19">
        <f t="shared" si="20"/>
        <v>41</v>
      </c>
      <c r="C51" s="26">
        <f t="shared" si="21"/>
        <v>729.7342947385081</v>
      </c>
      <c r="D51" s="26">
        <f t="shared" si="22"/>
        <v>429.96495878707515</v>
      </c>
      <c r="E51" s="26">
        <f t="shared" si="23"/>
        <v>299.76933595143294</v>
      </c>
      <c r="F51" s="26">
        <f t="shared" si="24"/>
        <v>67145.71439535447</v>
      </c>
      <c r="G51" s="21">
        <f t="shared" si="25"/>
        <v>128.98948763612253</v>
      </c>
      <c r="H51" s="28">
        <f>IF(F50&lt;0.5,"",IF(OR(YEAR(A51)&lt;YEAR(A52),F51&lt;0.5),SUM($G$11:G51)-SUM($H$11:H50),""))</f>
        <v>1584.6898350399615</v>
      </c>
      <c r="I51" s="30">
        <f t="shared" si="26"/>
        <v>19064.82047963329</v>
      </c>
      <c r="J51" s="30">
        <f t="shared" si="27"/>
        <v>10854.28560464554</v>
      </c>
      <c r="K51" s="31">
        <f t="shared" si="28"/>
        <v>28403.124656992255</v>
      </c>
      <c r="L51" s="28">
        <f t="shared" si="29"/>
        <v>5368.025531362711</v>
      </c>
    </row>
    <row r="52" spans="1:12" ht="12.75">
      <c r="A52" s="6">
        <f t="shared" si="8"/>
        <v>37622</v>
      </c>
      <c r="B52" s="19">
        <f t="shared" si="20"/>
        <v>42</v>
      </c>
      <c r="C52" s="26">
        <f t="shared" si="21"/>
        <v>729.7342947385081</v>
      </c>
      <c r="D52" s="26">
        <f t="shared" si="22"/>
        <v>428.05392927038474</v>
      </c>
      <c r="E52" s="26">
        <f t="shared" si="23"/>
        <v>301.68036546812334</v>
      </c>
      <c r="F52" s="26">
        <f t="shared" si="24"/>
        <v>66844.03402988634</v>
      </c>
      <c r="G52" s="21">
        <f t="shared" si="25"/>
        <v>128.4161787811154</v>
      </c>
      <c r="H52" s="28">
        <f>IF(F51&lt;0.5,"",IF(OR(YEAR(A52)&lt;YEAR(A53),F52&lt;0.5),SUM($G$11:G52)-SUM($H$11:H51),""))</f>
      </c>
      <c r="I52" s="30">
        <f t="shared" si="26"/>
        <v>19492.874408903674</v>
      </c>
      <c r="J52" s="30">
        <f t="shared" si="27"/>
        <v>11155.965970113662</v>
      </c>
      <c r="K52" s="31">
        <f t="shared" si="28"/>
        <v>29060.20843065413</v>
      </c>
      <c r="L52" s="28">
        <f t="shared" si="29"/>
        <v>5368.025531362711</v>
      </c>
    </row>
    <row r="53" spans="1:12" ht="12.75">
      <c r="A53" s="6">
        <f t="shared" si="8"/>
        <v>37653</v>
      </c>
      <c r="B53" s="19">
        <f t="shared" si="20"/>
        <v>43</v>
      </c>
      <c r="C53" s="26">
        <f t="shared" si="21"/>
        <v>729.7342947385081</v>
      </c>
      <c r="D53" s="26">
        <f t="shared" si="22"/>
        <v>426.1307169405254</v>
      </c>
      <c r="E53" s="26">
        <f t="shared" si="23"/>
        <v>303.60357779798267</v>
      </c>
      <c r="F53" s="26">
        <f t="shared" si="24"/>
        <v>66540.43045208836</v>
      </c>
      <c r="G53" s="21">
        <f t="shared" si="25"/>
        <v>127.83921508215762</v>
      </c>
      <c r="H53" s="28">
        <f>IF(F52&lt;0.5,"",IF(OR(YEAR(A53)&lt;YEAR(A54),F53&lt;0.5),SUM($G$11:G53)-SUM($H$11:H52),""))</f>
      </c>
      <c r="I53" s="30">
        <f t="shared" si="26"/>
        <v>19919.0051258442</v>
      </c>
      <c r="J53" s="30">
        <f t="shared" si="27"/>
        <v>11459.569547911646</v>
      </c>
      <c r="K53" s="31">
        <f t="shared" si="28"/>
        <v>29715.653591414102</v>
      </c>
      <c r="L53" s="28">
        <f t="shared" si="29"/>
        <v>5368.025531362711</v>
      </c>
    </row>
    <row r="54" spans="1:12" ht="12.75">
      <c r="A54" s="6">
        <f t="shared" si="8"/>
        <v>37681</v>
      </c>
      <c r="B54" s="19">
        <f t="shared" si="20"/>
        <v>44</v>
      </c>
      <c r="C54" s="26">
        <f t="shared" si="21"/>
        <v>729.7342947385081</v>
      </c>
      <c r="D54" s="26">
        <f t="shared" si="22"/>
        <v>424.1952441320633</v>
      </c>
      <c r="E54" s="26">
        <f t="shared" si="23"/>
        <v>305.5390506064448</v>
      </c>
      <c r="F54" s="26">
        <f t="shared" si="24"/>
        <v>66234.89140148192</v>
      </c>
      <c r="G54" s="21">
        <f t="shared" si="25"/>
        <v>127.25857323961898</v>
      </c>
      <c r="H54" s="28">
        <f>IF(F53&lt;0.5,"",IF(OR(YEAR(A54)&lt;YEAR(A55),F54&lt;0.5),SUM($G$11:G54)-SUM($H$11:H53),""))</f>
      </c>
      <c r="I54" s="30">
        <f t="shared" si="26"/>
        <v>20343.200369976264</v>
      </c>
      <c r="J54" s="30">
        <f t="shared" si="27"/>
        <v>11765.10859851809</v>
      </c>
      <c r="K54" s="31">
        <f t="shared" si="28"/>
        <v>30369.46422558864</v>
      </c>
      <c r="L54" s="28">
        <f t="shared" si="29"/>
        <v>5368.025531362711</v>
      </c>
    </row>
    <row r="55" spans="1:12" ht="12.75">
      <c r="A55" s="6">
        <f t="shared" si="8"/>
        <v>37712</v>
      </c>
      <c r="B55" s="19">
        <f t="shared" si="20"/>
        <v>45</v>
      </c>
      <c r="C55" s="26">
        <f t="shared" si="21"/>
        <v>729.7342947385081</v>
      </c>
      <c r="D55" s="26">
        <f t="shared" si="22"/>
        <v>422.2474326844472</v>
      </c>
      <c r="E55" s="26">
        <f t="shared" si="23"/>
        <v>307.4868620540609</v>
      </c>
      <c r="F55" s="26">
        <f t="shared" si="24"/>
        <v>65927.40453942785</v>
      </c>
      <c r="G55" s="21">
        <f t="shared" si="25"/>
        <v>126.67422980533415</v>
      </c>
      <c r="H55" s="28">
        <f>IF(F54&lt;0.5,"",IF(OR(YEAR(A55)&lt;YEAR(A56),F55&lt;0.5),SUM($G$11:G55)-SUM($H$11:H54),""))</f>
      </c>
      <c r="I55" s="30">
        <f t="shared" si="26"/>
        <v>20765.44780266071</v>
      </c>
      <c r="J55" s="30">
        <f t="shared" si="27"/>
        <v>12072.59546057215</v>
      </c>
      <c r="K55" s="31">
        <f t="shared" si="28"/>
        <v>31021.644409303888</v>
      </c>
      <c r="L55" s="28">
        <f t="shared" si="29"/>
        <v>5368.025531362711</v>
      </c>
    </row>
    <row r="56" spans="1:12" ht="12.75">
      <c r="A56" s="6">
        <f t="shared" si="8"/>
        <v>37742</v>
      </c>
      <c r="B56" s="19">
        <f t="shared" si="20"/>
        <v>46</v>
      </c>
      <c r="C56" s="26">
        <f t="shared" si="21"/>
        <v>729.7342947385081</v>
      </c>
      <c r="D56" s="26">
        <f t="shared" si="22"/>
        <v>420.28720393885254</v>
      </c>
      <c r="E56" s="26">
        <f t="shared" si="23"/>
        <v>309.44709079965554</v>
      </c>
      <c r="F56" s="26">
        <f t="shared" si="24"/>
        <v>65617.95744862819</v>
      </c>
      <c r="G56" s="21">
        <f t="shared" si="25"/>
        <v>126.08616118165575</v>
      </c>
      <c r="H56" s="28">
        <f>IF(F55&lt;0.5,"",IF(OR(YEAR(A56)&lt;YEAR(A57),F56&lt;0.5),SUM($G$11:G56)-SUM($H$11:H55),""))</f>
      </c>
      <c r="I56" s="30">
        <f t="shared" si="26"/>
        <v>21185.735006599563</v>
      </c>
      <c r="J56" s="30">
        <f t="shared" si="27"/>
        <v>12382.042551371806</v>
      </c>
      <c r="K56" s="31">
        <f t="shared" si="28"/>
        <v>31672.198208521095</v>
      </c>
      <c r="L56" s="28">
        <f t="shared" si="29"/>
        <v>5368.025531362711</v>
      </c>
    </row>
    <row r="57" spans="1:12" ht="12.75">
      <c r="A57" s="6">
        <f t="shared" si="8"/>
        <v>37773</v>
      </c>
      <c r="B57" s="19">
        <f t="shared" si="20"/>
        <v>47</v>
      </c>
      <c r="C57" s="26">
        <f t="shared" si="21"/>
        <v>729.7342947385081</v>
      </c>
      <c r="D57" s="26">
        <f t="shared" si="22"/>
        <v>418.3144787350047</v>
      </c>
      <c r="E57" s="26">
        <f t="shared" si="23"/>
        <v>311.4198160035034</v>
      </c>
      <c r="F57" s="26">
        <f t="shared" si="24"/>
        <v>65306.53763262469</v>
      </c>
      <c r="G57" s="21">
        <f t="shared" si="25"/>
        <v>125.4943436205014</v>
      </c>
      <c r="H57" s="28">
        <f>IF(F56&lt;0.5,"",IF(OR(YEAR(A57)&lt;YEAR(A58),F57&lt;0.5),SUM($G$11:G57)-SUM($H$11:H56),""))</f>
      </c>
      <c r="I57" s="30">
        <f t="shared" si="26"/>
        <v>21604.049485334566</v>
      </c>
      <c r="J57" s="30">
        <f t="shared" si="27"/>
        <v>12693.462367375309</v>
      </c>
      <c r="K57" s="31">
        <f t="shared" si="28"/>
        <v>32321.12967906195</v>
      </c>
      <c r="L57" s="28">
        <f t="shared" si="29"/>
        <v>5368.025531362711</v>
      </c>
    </row>
    <row r="58" spans="1:12" ht="12.75">
      <c r="A58" s="6">
        <f t="shared" si="8"/>
        <v>37803</v>
      </c>
      <c r="B58" s="19">
        <f t="shared" si="20"/>
        <v>48</v>
      </c>
      <c r="C58" s="26">
        <f t="shared" si="21"/>
        <v>729.7342947385081</v>
      </c>
      <c r="D58" s="26">
        <f t="shared" si="22"/>
        <v>416.3291774079824</v>
      </c>
      <c r="E58" s="26">
        <f t="shared" si="23"/>
        <v>313.4051173305257</v>
      </c>
      <c r="F58" s="26">
        <f t="shared" si="24"/>
        <v>64993.132515294164</v>
      </c>
      <c r="G58" s="21">
        <f t="shared" si="25"/>
        <v>124.89875322239472</v>
      </c>
      <c r="H58" s="28">
        <f>IF(F57&lt;0.5,"",IF(OR(YEAR(A58)&lt;YEAR(A59),F58&lt;0.5),SUM($G$11:G58)-SUM($H$11:H57),""))</f>
      </c>
      <c r="I58" s="30">
        <f t="shared" si="26"/>
        <v>22020.378662742547</v>
      </c>
      <c r="J58" s="30">
        <f t="shared" si="27"/>
        <v>13006.867484705834</v>
      </c>
      <c r="K58" s="31">
        <f t="shared" si="28"/>
        <v>32968.44286663387</v>
      </c>
      <c r="L58" s="28">
        <f t="shared" si="29"/>
        <v>5368.025531362711</v>
      </c>
    </row>
    <row r="59" spans="1:12" ht="12.75">
      <c r="A59" s="6">
        <f t="shared" si="8"/>
        <v>37834</v>
      </c>
      <c r="B59" s="19">
        <f t="shared" si="20"/>
        <v>49</v>
      </c>
      <c r="C59" s="26">
        <f t="shared" si="21"/>
        <v>729.7342947385081</v>
      </c>
      <c r="D59" s="26">
        <f t="shared" si="22"/>
        <v>414.33121978500026</v>
      </c>
      <c r="E59" s="26">
        <f t="shared" si="23"/>
        <v>315.4030749535078</v>
      </c>
      <c r="F59" s="26">
        <f t="shared" si="24"/>
        <v>64677.729440340656</v>
      </c>
      <c r="G59" s="21">
        <f t="shared" si="25"/>
        <v>124.29936593550008</v>
      </c>
      <c r="H59" s="28">
        <f>IF(F58&lt;0.5,"",IF(OR(YEAR(A59)&lt;YEAR(A60),F59&lt;0.5),SUM($G$11:G59)-SUM($H$11:H58),""))</f>
      </c>
      <c r="I59" s="30">
        <f t="shared" si="26"/>
        <v>22434.709882527546</v>
      </c>
      <c r="J59" s="30">
        <f t="shared" si="27"/>
        <v>13322.270559659342</v>
      </c>
      <c r="K59" s="31">
        <f t="shared" si="28"/>
        <v>33614.141806855245</v>
      </c>
      <c r="L59" s="28">
        <f t="shared" si="29"/>
        <v>5368.025531362711</v>
      </c>
    </row>
    <row r="60" spans="1:12" ht="12.75">
      <c r="A60" s="6">
        <f t="shared" si="8"/>
        <v>37865</v>
      </c>
      <c r="B60" s="19">
        <f aca="true" t="shared" si="30" ref="B60:B75">B59+1</f>
        <v>50</v>
      </c>
      <c r="C60" s="26">
        <f aca="true" t="shared" si="31" ref="C60:C75">IF(F59&gt;0.5,C59,"")</f>
        <v>729.7342947385081</v>
      </c>
      <c r="D60" s="26">
        <f aca="true" t="shared" si="32" ref="D60:D75">IF(F59&gt;0.5,$I$3*F59,"")</f>
        <v>412.32052518217165</v>
      </c>
      <c r="E60" s="26">
        <f aca="true" t="shared" si="33" ref="E60:E75">IF(F59&gt;0.5,C60-D60,"")</f>
        <v>317.41376955633643</v>
      </c>
      <c r="F60" s="26">
        <f aca="true" t="shared" si="34" ref="F60:F75">IF(F59&gt;0.5,F59-E60,0)</f>
        <v>64360.31567078432</v>
      </c>
      <c r="G60" s="21">
        <f t="shared" si="25"/>
        <v>123.69615755465149</v>
      </c>
      <c r="H60" s="28">
        <f>IF(F59&lt;0.5,"",IF(OR(YEAR(A60)&lt;YEAR(A61),F60&lt;0.5),SUM($G$11:G60)-SUM($H$11:H59),""))</f>
      </c>
      <c r="I60" s="30">
        <f aca="true" t="shared" si="35" ref="I60:I75">IF(F59&gt;0.5,I59+D60,"")</f>
        <v>22847.030407709717</v>
      </c>
      <c r="J60" s="30">
        <f aca="true" t="shared" si="36" ref="J60:J75">IF(F59&gt;0.5,J59+E60,"")</f>
        <v>13639.68432921568</v>
      </c>
      <c r="K60" s="31">
        <f t="shared" si="28"/>
        <v>34258.23052528055</v>
      </c>
      <c r="L60" s="28">
        <f t="shared" si="29"/>
        <v>5368.025531362711</v>
      </c>
    </row>
    <row r="61" spans="1:12" ht="12.75">
      <c r="A61" s="6">
        <f t="shared" si="8"/>
        <v>37895</v>
      </c>
      <c r="B61" s="19">
        <f t="shared" si="30"/>
        <v>51</v>
      </c>
      <c r="C61" s="26">
        <f t="shared" si="31"/>
        <v>729.7342947385081</v>
      </c>
      <c r="D61" s="26">
        <f t="shared" si="32"/>
        <v>410.29701240125</v>
      </c>
      <c r="E61" s="26">
        <f t="shared" si="33"/>
        <v>319.43728233725807</v>
      </c>
      <c r="F61" s="26">
        <f t="shared" si="34"/>
        <v>64040.87838844706</v>
      </c>
      <c r="G61" s="21">
        <f t="shared" si="25"/>
        <v>123.089103720375</v>
      </c>
      <c r="H61" s="28">
        <f>IF(F60&lt;0.5,"",IF(OR(YEAR(A61)&lt;YEAR(A62),F61&lt;0.5),SUM($G$11:G61)-SUM($H$11:H60),""))</f>
      </c>
      <c r="I61" s="30">
        <f t="shared" si="35"/>
        <v>23257.327420110967</v>
      </c>
      <c r="J61" s="30">
        <f t="shared" si="36"/>
        <v>13959.121611552937</v>
      </c>
      <c r="K61" s="31">
        <f aca="true" t="shared" si="37" ref="K61:K76">IF(F60&gt;0.5,C61/(1+$I$4)^B61+K60,"")</f>
        <v>34900.7130374255</v>
      </c>
      <c r="L61" s="28">
        <f aca="true" t="shared" si="38" ref="L61:L76">IF(F60&lt;0.5,"",IF(H61="",L60,H61/(1+$I$4)^B61+L60))</f>
        <v>5368.025531362711</v>
      </c>
    </row>
    <row r="62" spans="1:12" ht="12.75">
      <c r="A62" s="6">
        <f t="shared" si="8"/>
        <v>37926</v>
      </c>
      <c r="B62" s="19">
        <f t="shared" si="30"/>
        <v>52</v>
      </c>
      <c r="C62" s="26">
        <f t="shared" si="31"/>
        <v>729.7342947385081</v>
      </c>
      <c r="D62" s="26">
        <f t="shared" si="32"/>
        <v>408.26059972635</v>
      </c>
      <c r="E62" s="26">
        <f t="shared" si="33"/>
        <v>321.4736950121581</v>
      </c>
      <c r="F62" s="26">
        <f t="shared" si="34"/>
        <v>63719.4046934349</v>
      </c>
      <c r="G62" s="21">
        <f t="shared" si="25"/>
        <v>122.478179917905</v>
      </c>
      <c r="H62" s="28">
        <f>IF(F61&lt;0.5,"",IF(OR(YEAR(A62)&lt;YEAR(A63),F62&lt;0.5),SUM($G$11:G62)-SUM($H$11:H61),""))</f>
      </c>
      <c r="I62" s="30">
        <f t="shared" si="35"/>
        <v>23665.588019837316</v>
      </c>
      <c r="J62" s="30">
        <f t="shared" si="36"/>
        <v>14280.595306565096</v>
      </c>
      <c r="K62" s="31">
        <f t="shared" si="37"/>
        <v>35541.59334879203</v>
      </c>
      <c r="L62" s="28">
        <f t="shared" si="38"/>
        <v>5368.025531362711</v>
      </c>
    </row>
    <row r="63" spans="1:12" ht="12.75">
      <c r="A63" s="6">
        <f t="shared" si="8"/>
        <v>37956</v>
      </c>
      <c r="B63" s="19">
        <f t="shared" si="30"/>
        <v>53</v>
      </c>
      <c r="C63" s="26">
        <f t="shared" si="31"/>
        <v>729.7342947385081</v>
      </c>
      <c r="D63" s="26">
        <f t="shared" si="32"/>
        <v>406.2112049206475</v>
      </c>
      <c r="E63" s="26">
        <f t="shared" si="33"/>
        <v>323.5230898178606</v>
      </c>
      <c r="F63" s="26">
        <f t="shared" si="34"/>
        <v>63395.88160361704</v>
      </c>
      <c r="G63" s="21">
        <f t="shared" si="25"/>
        <v>121.86336147619424</v>
      </c>
      <c r="H63" s="28">
        <f>IF(F62&lt;0.5,"",IF(OR(YEAR(A63)&lt;YEAR(A64),F63&lt;0.5),SUM($G$11:G63)-SUM($H$11:H62),""))</f>
        <v>1502.093623537402</v>
      </c>
      <c r="I63" s="30">
        <f t="shared" si="35"/>
        <v>24071.799224757964</v>
      </c>
      <c r="J63" s="30">
        <f t="shared" si="36"/>
        <v>14604.118396382955</v>
      </c>
      <c r="K63" s="31">
        <f t="shared" si="37"/>
        <v>36180.87545489331</v>
      </c>
      <c r="L63" s="28">
        <f t="shared" si="38"/>
        <v>6683.931309863072</v>
      </c>
    </row>
    <row r="64" spans="1:12" ht="12.75">
      <c r="A64" s="6">
        <f t="shared" si="8"/>
        <v>37987</v>
      </c>
      <c r="B64" s="19">
        <f t="shared" si="30"/>
        <v>54</v>
      </c>
      <c r="C64" s="26">
        <f t="shared" si="31"/>
        <v>729.7342947385081</v>
      </c>
      <c r="D64" s="26">
        <f t="shared" si="32"/>
        <v>404.1487452230586</v>
      </c>
      <c r="E64" s="26">
        <f t="shared" si="33"/>
        <v>325.5855495154495</v>
      </c>
      <c r="F64" s="26">
        <f t="shared" si="34"/>
        <v>63070.29605410159</v>
      </c>
      <c r="G64" s="21">
        <f t="shared" si="25"/>
        <v>121.24462356691757</v>
      </c>
      <c r="H64" s="28">
        <f>IF(F63&lt;0.5,"",IF(OR(YEAR(A64)&lt;YEAR(A65),F64&lt;0.5),SUM($G$11:G64)-SUM($H$11:H63),""))</f>
      </c>
      <c r="I64" s="30">
        <f t="shared" si="35"/>
        <v>24475.94796998102</v>
      </c>
      <c r="J64" s="30">
        <f t="shared" si="36"/>
        <v>14929.703945898405</v>
      </c>
      <c r="K64" s="31">
        <f t="shared" si="37"/>
        <v>36818.56334127862</v>
      </c>
      <c r="L64" s="28">
        <f t="shared" si="38"/>
        <v>6683.931309863072</v>
      </c>
    </row>
    <row r="65" spans="1:12" ht="12.75">
      <c r="A65" s="6">
        <f t="shared" si="8"/>
        <v>38018</v>
      </c>
      <c r="B65" s="19">
        <f t="shared" si="30"/>
        <v>55</v>
      </c>
      <c r="C65" s="26">
        <f t="shared" si="31"/>
        <v>729.7342947385081</v>
      </c>
      <c r="D65" s="26">
        <f t="shared" si="32"/>
        <v>402.07313734489765</v>
      </c>
      <c r="E65" s="26">
        <f t="shared" si="33"/>
        <v>327.66115739361044</v>
      </c>
      <c r="F65" s="26">
        <f t="shared" si="34"/>
        <v>62742.63489670798</v>
      </c>
      <c r="G65" s="21">
        <f t="shared" si="25"/>
        <v>120.62194120346929</v>
      </c>
      <c r="H65" s="28">
        <f>IF(F64&lt;0.5,"",IF(OR(YEAR(A65)&lt;YEAR(A66),F65&lt;0.5),SUM($G$11:G65)-SUM($H$11:H64),""))</f>
      </c>
      <c r="I65" s="30">
        <f t="shared" si="35"/>
        <v>24878.02110732592</v>
      </c>
      <c r="J65" s="30">
        <f t="shared" si="36"/>
        <v>15257.365103292015</v>
      </c>
      <c r="K65" s="31">
        <f t="shared" si="37"/>
        <v>37454.660983558235</v>
      </c>
      <c r="L65" s="28">
        <f t="shared" si="38"/>
        <v>6683.931309863072</v>
      </c>
    </row>
    <row r="66" spans="1:12" ht="12.75">
      <c r="A66" s="6">
        <f t="shared" si="8"/>
        <v>38047</v>
      </c>
      <c r="B66" s="19">
        <f t="shared" si="30"/>
        <v>56</v>
      </c>
      <c r="C66" s="26">
        <f t="shared" si="31"/>
        <v>729.7342947385081</v>
      </c>
      <c r="D66" s="26">
        <f t="shared" si="32"/>
        <v>399.98429746651334</v>
      </c>
      <c r="E66" s="26">
        <f t="shared" si="33"/>
        <v>329.74999727199474</v>
      </c>
      <c r="F66" s="26">
        <f t="shared" si="34"/>
        <v>62412.88489943599</v>
      </c>
      <c r="G66" s="21">
        <f t="shared" si="25"/>
        <v>119.99528923995399</v>
      </c>
      <c r="H66" s="28">
        <f>IF(F65&lt;0.5,"",IF(OR(YEAR(A66)&lt;YEAR(A67),F66&lt;0.5),SUM($G$11:G66)-SUM($H$11:H65),""))</f>
      </c>
      <c r="I66" s="30">
        <f t="shared" si="35"/>
        <v>25278.00540479243</v>
      </c>
      <c r="J66" s="30">
        <f t="shared" si="36"/>
        <v>15587.11510056401</v>
      </c>
      <c r="K66" s="31">
        <f t="shared" si="37"/>
        <v>38089.172347428175</v>
      </c>
      <c r="L66" s="28">
        <f t="shared" si="38"/>
        <v>6683.931309863072</v>
      </c>
    </row>
    <row r="67" spans="1:12" ht="12.75">
      <c r="A67" s="6">
        <f t="shared" si="8"/>
        <v>38078</v>
      </c>
      <c r="B67" s="19">
        <f t="shared" si="30"/>
        <v>57</v>
      </c>
      <c r="C67" s="26">
        <f t="shared" si="31"/>
        <v>729.7342947385081</v>
      </c>
      <c r="D67" s="26">
        <f t="shared" si="32"/>
        <v>397.8821412339044</v>
      </c>
      <c r="E67" s="26">
        <f t="shared" si="33"/>
        <v>331.8521535046037</v>
      </c>
      <c r="F67" s="26">
        <f t="shared" si="34"/>
        <v>62081.032745931385</v>
      </c>
      <c r="G67" s="21">
        <f t="shared" si="25"/>
        <v>119.36464237017131</v>
      </c>
      <c r="H67" s="28">
        <f>IF(F66&lt;0.5,"",IF(OR(YEAR(A67)&lt;YEAR(A68),F67&lt;0.5),SUM($G$11:G67)-SUM($H$11:H66),""))</f>
      </c>
      <c r="I67" s="30">
        <f t="shared" si="35"/>
        <v>25675.887546026337</v>
      </c>
      <c r="J67" s="30">
        <f t="shared" si="36"/>
        <v>15918.967254068613</v>
      </c>
      <c r="K67" s="31">
        <f t="shared" si="37"/>
        <v>38722.10138869495</v>
      </c>
      <c r="L67" s="28">
        <f t="shared" si="38"/>
        <v>6683.931309863072</v>
      </c>
    </row>
    <row r="68" spans="1:12" ht="12.75">
      <c r="A68" s="6">
        <f t="shared" si="8"/>
        <v>38108</v>
      </c>
      <c r="B68" s="19">
        <f t="shared" si="30"/>
        <v>58</v>
      </c>
      <c r="C68" s="26">
        <f t="shared" si="31"/>
        <v>729.7342947385081</v>
      </c>
      <c r="D68" s="26">
        <f t="shared" si="32"/>
        <v>395.7665837553126</v>
      </c>
      <c r="E68" s="26">
        <f t="shared" si="33"/>
        <v>333.9677109831955</v>
      </c>
      <c r="F68" s="26">
        <f t="shared" si="34"/>
        <v>61747.06503494819</v>
      </c>
      <c r="G68" s="21">
        <f t="shared" si="25"/>
        <v>118.72997512659377</v>
      </c>
      <c r="H68" s="28">
        <f>IF(F67&lt;0.5,"",IF(OR(YEAR(A68)&lt;YEAR(A69),F68&lt;0.5),SUM($G$11:G68)-SUM($H$11:H67),""))</f>
      </c>
      <c r="I68" s="30">
        <f t="shared" si="35"/>
        <v>26071.65412978165</v>
      </c>
      <c r="J68" s="30">
        <f t="shared" si="36"/>
        <v>16252.934965051809</v>
      </c>
      <c r="K68" s="31">
        <f t="shared" si="37"/>
        <v>39353.452053300214</v>
      </c>
      <c r="L68" s="28">
        <f t="shared" si="38"/>
        <v>6683.931309863072</v>
      </c>
    </row>
    <row r="69" spans="1:12" ht="12.75">
      <c r="A69" s="6">
        <f t="shared" si="8"/>
        <v>38139</v>
      </c>
      <c r="B69" s="19">
        <f t="shared" si="30"/>
        <v>59</v>
      </c>
      <c r="C69" s="26">
        <f t="shared" si="31"/>
        <v>729.7342947385081</v>
      </c>
      <c r="D69" s="26">
        <f t="shared" si="32"/>
        <v>393.63753959779467</v>
      </c>
      <c r="E69" s="26">
        <f t="shared" si="33"/>
        <v>336.0967551407134</v>
      </c>
      <c r="F69" s="26">
        <f t="shared" si="34"/>
        <v>61410.96827980747</v>
      </c>
      <c r="G69" s="21">
        <f t="shared" si="25"/>
        <v>118.09126187933839</v>
      </c>
      <c r="H69" s="28">
        <f>IF(F68&lt;0.5,"",IF(OR(YEAR(A69)&lt;YEAR(A70),F69&lt;0.5),SUM($G$11:G69)-SUM($H$11:H68),""))</f>
      </c>
      <c r="I69" s="30">
        <f t="shared" si="35"/>
        <v>26465.291669379447</v>
      </c>
      <c r="J69" s="30">
        <f t="shared" si="36"/>
        <v>16589.03172019252</v>
      </c>
      <c r="K69" s="31">
        <f t="shared" si="37"/>
        <v>39983.22827734536</v>
      </c>
      <c r="L69" s="28">
        <f t="shared" si="38"/>
        <v>6683.931309863072</v>
      </c>
    </row>
    <row r="70" spans="1:12" ht="12.75">
      <c r="A70" s="6">
        <f t="shared" si="8"/>
        <v>38169</v>
      </c>
      <c r="B70" s="19">
        <f t="shared" si="30"/>
        <v>60</v>
      </c>
      <c r="C70" s="26">
        <f t="shared" si="31"/>
        <v>729.7342947385081</v>
      </c>
      <c r="D70" s="26">
        <f t="shared" si="32"/>
        <v>391.4949227837726</v>
      </c>
      <c r="E70" s="26">
        <f t="shared" si="33"/>
        <v>338.2393719547355</v>
      </c>
      <c r="F70" s="26">
        <f t="shared" si="34"/>
        <v>61072.72890785274</v>
      </c>
      <c r="G70" s="21">
        <f t="shared" si="25"/>
        <v>117.44847683513177</v>
      </c>
      <c r="H70" s="28">
        <f>IF(F69&lt;0.5,"",IF(OR(YEAR(A70)&lt;YEAR(A71),F70&lt;0.5),SUM($G$11:G70)-SUM($H$11:H69),""))</f>
      </c>
      <c r="I70" s="30">
        <f t="shared" si="35"/>
        <v>26856.78659216322</v>
      </c>
      <c r="J70" s="30">
        <f t="shared" si="36"/>
        <v>16927.271092147257</v>
      </c>
      <c r="K70" s="31">
        <f t="shared" si="37"/>
        <v>40611.433987116085</v>
      </c>
      <c r="L70" s="28">
        <f t="shared" si="38"/>
        <v>6683.931309863072</v>
      </c>
    </row>
    <row r="71" spans="1:12" ht="12.75">
      <c r="A71" s="6">
        <f t="shared" si="8"/>
        <v>38200</v>
      </c>
      <c r="B71" s="19">
        <f t="shared" si="30"/>
        <v>61</v>
      </c>
      <c r="C71" s="26">
        <f t="shared" si="31"/>
        <v>729.7342947385081</v>
      </c>
      <c r="D71" s="26">
        <f t="shared" si="32"/>
        <v>389.3386467875612</v>
      </c>
      <c r="E71" s="26">
        <f t="shared" si="33"/>
        <v>340.3956479509469</v>
      </c>
      <c r="F71" s="26">
        <f t="shared" si="34"/>
        <v>60732.333259901796</v>
      </c>
      <c r="G71" s="21">
        <f t="shared" si="25"/>
        <v>116.80159403626834</v>
      </c>
      <c r="H71" s="28">
        <f>IF(F70&lt;0.5,"",IF(OR(YEAR(A71)&lt;YEAR(A72),F71&lt;0.5),SUM($G$11:G71)-SUM($H$11:H70),""))</f>
      </c>
      <c r="I71" s="30">
        <f t="shared" si="35"/>
        <v>27246.12523895078</v>
      </c>
      <c r="J71" s="30">
        <f t="shared" si="36"/>
        <v>17267.666740098204</v>
      </c>
      <c r="K71" s="31">
        <f t="shared" si="37"/>
        <v>41238.07309910683</v>
      </c>
      <c r="L71" s="28">
        <f t="shared" si="38"/>
        <v>6683.931309863072</v>
      </c>
    </row>
    <row r="72" spans="1:12" ht="12.75">
      <c r="A72" s="6">
        <f t="shared" si="8"/>
        <v>38231</v>
      </c>
      <c r="B72" s="19">
        <f t="shared" si="30"/>
        <v>62</v>
      </c>
      <c r="C72" s="26">
        <f t="shared" si="31"/>
        <v>729.7342947385081</v>
      </c>
      <c r="D72" s="26">
        <f t="shared" si="32"/>
        <v>387.16862453187395</v>
      </c>
      <c r="E72" s="26">
        <f t="shared" si="33"/>
        <v>342.56567020663414</v>
      </c>
      <c r="F72" s="26">
        <f t="shared" si="34"/>
        <v>60389.76758969516</v>
      </c>
      <c r="G72" s="21">
        <f t="shared" si="25"/>
        <v>116.15058735956218</v>
      </c>
      <c r="H72" s="28">
        <f>IF(F71&lt;0.5,"",IF(OR(YEAR(A72)&lt;YEAR(A73),F72&lt;0.5),SUM($G$11:G72)-SUM($H$11:H71),""))</f>
      </c>
      <c r="I72" s="30">
        <f t="shared" si="35"/>
        <v>27633.293863482653</v>
      </c>
      <c r="J72" s="30">
        <f t="shared" si="36"/>
        <v>17610.232410304838</v>
      </c>
      <c r="K72" s="31">
        <f t="shared" si="37"/>
        <v>41863.14952004523</v>
      </c>
      <c r="L72" s="28">
        <f t="shared" si="38"/>
        <v>6683.931309863072</v>
      </c>
    </row>
    <row r="73" spans="1:12" ht="12.75">
      <c r="A73" s="6">
        <f t="shared" si="8"/>
        <v>38261</v>
      </c>
      <c r="B73" s="19">
        <f t="shared" si="30"/>
        <v>63</v>
      </c>
      <c r="C73" s="26">
        <f t="shared" si="31"/>
        <v>729.7342947385081</v>
      </c>
      <c r="D73" s="26">
        <f t="shared" si="32"/>
        <v>384.9847683843066</v>
      </c>
      <c r="E73" s="26">
        <f t="shared" si="33"/>
        <v>344.74952635420146</v>
      </c>
      <c r="F73" s="26">
        <f t="shared" si="34"/>
        <v>60045.01806334096</v>
      </c>
      <c r="G73" s="21">
        <f t="shared" si="25"/>
        <v>115.49543051529199</v>
      </c>
      <c r="H73" s="28">
        <f>IF(F72&lt;0.5,"",IF(OR(YEAR(A73)&lt;YEAR(A74),F73&lt;0.5),SUM($G$11:G73)-SUM($H$11:H72),""))</f>
      </c>
      <c r="I73" s="30">
        <f t="shared" si="35"/>
        <v>28018.27863186696</v>
      </c>
      <c r="J73" s="30">
        <f t="shared" si="36"/>
        <v>17954.98193665904</v>
      </c>
      <c r="K73" s="31">
        <f t="shared" si="37"/>
        <v>42486.66714691644</v>
      </c>
      <c r="L73" s="28">
        <f t="shared" si="38"/>
        <v>6683.931309863072</v>
      </c>
    </row>
    <row r="74" spans="1:12" ht="12.75">
      <c r="A74" s="6">
        <f t="shared" si="8"/>
        <v>38292</v>
      </c>
      <c r="B74" s="19">
        <f t="shared" si="30"/>
        <v>64</v>
      </c>
      <c r="C74" s="26">
        <f t="shared" si="31"/>
        <v>729.7342947385081</v>
      </c>
      <c r="D74" s="26">
        <f t="shared" si="32"/>
        <v>382.7869901537986</v>
      </c>
      <c r="E74" s="26">
        <f t="shared" si="33"/>
        <v>346.94730458470946</v>
      </c>
      <c r="F74" s="26">
        <f t="shared" si="34"/>
        <v>59698.07075875625</v>
      </c>
      <c r="G74" s="21">
        <f t="shared" si="25"/>
        <v>114.83609704613959</v>
      </c>
      <c r="H74" s="28">
        <f>IF(F73&lt;0.5,"",IF(OR(YEAR(A74)&lt;YEAR(A75),F74&lt;0.5),SUM($G$11:G74)-SUM($H$11:H73),""))</f>
      </c>
      <c r="I74" s="30">
        <f t="shared" si="35"/>
        <v>28401.06562202076</v>
      </c>
      <c r="J74" s="30">
        <f t="shared" si="36"/>
        <v>18301.929241243746</v>
      </c>
      <c r="K74" s="31">
        <f t="shared" si="37"/>
        <v>43108.62986698748</v>
      </c>
      <c r="L74" s="28">
        <f t="shared" si="38"/>
        <v>6683.931309863072</v>
      </c>
    </row>
    <row r="75" spans="1:12" ht="12.75">
      <c r="A75" s="6">
        <f t="shared" si="8"/>
        <v>38322</v>
      </c>
      <c r="B75" s="19">
        <f t="shared" si="30"/>
        <v>65</v>
      </c>
      <c r="C75" s="26">
        <f t="shared" si="31"/>
        <v>729.7342947385081</v>
      </c>
      <c r="D75" s="26">
        <f t="shared" si="32"/>
        <v>380.5752010870711</v>
      </c>
      <c r="E75" s="26">
        <f t="shared" si="33"/>
        <v>349.159093651437</v>
      </c>
      <c r="F75" s="26">
        <f t="shared" si="34"/>
        <v>59348.91166510481</v>
      </c>
      <c r="G75" s="21">
        <f t="shared" si="25"/>
        <v>114.17256032612133</v>
      </c>
      <c r="H75" s="28">
        <f>IF(F74&lt;0.5,"",IF(OR(YEAR(A75)&lt;YEAR(A76),F75&lt;0.5),SUM($G$11:G75)-SUM($H$11:H74),""))</f>
        <v>1412.9524795049592</v>
      </c>
      <c r="I75" s="30">
        <f t="shared" si="35"/>
        <v>28781.64082310783</v>
      </c>
      <c r="J75" s="30">
        <f t="shared" si="36"/>
        <v>18651.088334895183</v>
      </c>
      <c r="K75" s="31">
        <f t="shared" si="37"/>
        <v>43729.04155783141</v>
      </c>
      <c r="L75" s="28">
        <f t="shared" si="38"/>
        <v>7885.2072307185135</v>
      </c>
    </row>
    <row r="76" spans="1:12" ht="12.75">
      <c r="A76" s="6">
        <f t="shared" si="8"/>
        <v>38353</v>
      </c>
      <c r="B76" s="19">
        <f aca="true" t="shared" si="39" ref="B76:B91">B75+1</f>
        <v>66</v>
      </c>
      <c r="C76" s="26">
        <f aca="true" t="shared" si="40" ref="C76:C91">IF(F75&gt;0.5,C75,"")</f>
        <v>729.7342947385081</v>
      </c>
      <c r="D76" s="26">
        <f aca="true" t="shared" si="41" ref="D76:D91">IF(F75&gt;0.5,$I$3*F75,"")</f>
        <v>378.34931186504315</v>
      </c>
      <c r="E76" s="26">
        <f aca="true" t="shared" si="42" ref="E76:E91">IF(F75&gt;0.5,C76-D76,"")</f>
        <v>351.38498287346493</v>
      </c>
      <c r="F76" s="26">
        <f aca="true" t="shared" si="43" ref="F76:F91">IF(F75&gt;0.5,F75-E76,0)</f>
        <v>58997.52668223134</v>
      </c>
      <c r="G76" s="21">
        <f aca="true" t="shared" si="44" ref="G76:G107">IF(F75&gt;0.5,D76*$I$5,"")</f>
        <v>113.50479355951295</v>
      </c>
      <c r="H76" s="28">
        <f>IF(F75&lt;0.5,"",IF(OR(YEAR(A76)&lt;YEAR(A77),F76&lt;0.5),SUM($G$11:G76)-SUM($H$11:H75),""))</f>
      </c>
      <c r="I76" s="30">
        <f aca="true" t="shared" si="45" ref="I76:I91">IF(F75&gt;0.5,I75+D76,"")</f>
        <v>29159.990134972875</v>
      </c>
      <c r="J76" s="30">
        <f aca="true" t="shared" si="46" ref="J76:J91">IF(F75&gt;0.5,J75+E76,"")</f>
        <v>19002.473317768647</v>
      </c>
      <c r="K76" s="31">
        <f t="shared" si="37"/>
        <v>44347.90608735154</v>
      </c>
      <c r="L76" s="28">
        <f t="shared" si="38"/>
        <v>7885.2072307185135</v>
      </c>
    </row>
    <row r="77" spans="1:12" ht="12.75">
      <c r="A77" s="6">
        <f aca="true" t="shared" si="47" ref="A77:A140">IF($C$6&lt;27,DATE((YEAR(A76)-1900),MONTH(A76)+1,$C$6),DATE((YEAR(A76)-1900),MONTH(A76)+2,1)-1)</f>
        <v>38384</v>
      </c>
      <c r="B77" s="19">
        <f t="shared" si="39"/>
        <v>67</v>
      </c>
      <c r="C77" s="26">
        <f t="shared" si="40"/>
        <v>729.7342947385081</v>
      </c>
      <c r="D77" s="26">
        <f t="shared" si="41"/>
        <v>376.1092325992248</v>
      </c>
      <c r="E77" s="26">
        <f t="shared" si="42"/>
        <v>353.6250621392833</v>
      </c>
      <c r="F77" s="26">
        <f t="shared" si="43"/>
        <v>58643.90162009206</v>
      </c>
      <c r="G77" s="21">
        <f t="shared" si="44"/>
        <v>112.83276977976745</v>
      </c>
      <c r="H77" s="28">
        <f>IF(F76&lt;0.5,"",IF(OR(YEAR(A77)&lt;YEAR(A78),F77&lt;0.5),SUM($G$11:G77)-SUM($H$11:H76),""))</f>
      </c>
      <c r="I77" s="30">
        <f t="shared" si="45"/>
        <v>29536.0993675721</v>
      </c>
      <c r="J77" s="30">
        <f t="shared" si="46"/>
        <v>19356.09837990793</v>
      </c>
      <c r="K77" s="31">
        <f aca="true" t="shared" si="48" ref="K77:K92">IF(F76&gt;0.5,C77/(1+$I$4)^B77+K76,"")</f>
        <v>44965.22731380554</v>
      </c>
      <c r="L77" s="28">
        <f aca="true" t="shared" si="49" ref="L77:L92">IF(F76&lt;0.5,"",IF(H77="",L76,H77/(1+$I$4)^B77+L76))</f>
        <v>7885.2072307185135</v>
      </c>
    </row>
    <row r="78" spans="1:12" ht="12.75">
      <c r="A78" s="6">
        <f t="shared" si="47"/>
        <v>38412</v>
      </c>
      <c r="B78" s="19">
        <f t="shared" si="39"/>
        <v>68</v>
      </c>
      <c r="C78" s="26">
        <f t="shared" si="40"/>
        <v>729.7342947385081</v>
      </c>
      <c r="D78" s="26">
        <f t="shared" si="41"/>
        <v>373.85487282808685</v>
      </c>
      <c r="E78" s="26">
        <f t="shared" si="42"/>
        <v>355.87942191042123</v>
      </c>
      <c r="F78" s="26">
        <f t="shared" si="43"/>
        <v>58288.022198181636</v>
      </c>
      <c r="G78" s="21">
        <f t="shared" si="44"/>
        <v>112.15646184842605</v>
      </c>
      <c r="H78" s="28">
        <f>IF(F77&lt;0.5,"",IF(OR(YEAR(A78)&lt;YEAR(A79),F78&lt;0.5),SUM($G$11:G78)-SUM($H$11:H77),""))</f>
      </c>
      <c r="I78" s="30">
        <f t="shared" si="45"/>
        <v>29909.954240400188</v>
      </c>
      <c r="J78" s="30">
        <f t="shared" si="46"/>
        <v>19711.97780181835</v>
      </c>
      <c r="K78" s="31">
        <f t="shared" si="48"/>
        <v>45581.00908582948</v>
      </c>
      <c r="L78" s="28">
        <f t="shared" si="49"/>
        <v>7885.2072307185135</v>
      </c>
    </row>
    <row r="79" spans="1:12" ht="12.75">
      <c r="A79" s="6">
        <f t="shared" si="47"/>
        <v>38443</v>
      </c>
      <c r="B79" s="19">
        <f t="shared" si="39"/>
        <v>69</v>
      </c>
      <c r="C79" s="26">
        <f t="shared" si="40"/>
        <v>729.7342947385081</v>
      </c>
      <c r="D79" s="26">
        <f t="shared" si="41"/>
        <v>371.5861415134079</v>
      </c>
      <c r="E79" s="26">
        <f t="shared" si="42"/>
        <v>358.1481532251002</v>
      </c>
      <c r="F79" s="26">
        <f t="shared" si="43"/>
        <v>57929.87404495654</v>
      </c>
      <c r="G79" s="21">
        <f t="shared" si="44"/>
        <v>111.47584245402236</v>
      </c>
      <c r="H79" s="28">
        <f>IF(F78&lt;0.5,"",IF(OR(YEAR(A79)&lt;YEAR(A80),F79&lt;0.5),SUM($G$11:G79)-SUM($H$11:H78),""))</f>
      </c>
      <c r="I79" s="30">
        <f t="shared" si="45"/>
        <v>30281.540381913597</v>
      </c>
      <c r="J79" s="30">
        <f t="shared" si="46"/>
        <v>20070.12595504345</v>
      </c>
      <c r="K79" s="31">
        <f t="shared" si="48"/>
        <v>46195.25524246183</v>
      </c>
      <c r="L79" s="28">
        <f t="shared" si="49"/>
        <v>7885.2072307185135</v>
      </c>
    </row>
    <row r="80" spans="1:12" ht="12.75">
      <c r="A80" s="6">
        <f t="shared" si="47"/>
        <v>38473</v>
      </c>
      <c r="B80" s="19">
        <f t="shared" si="39"/>
        <v>70</v>
      </c>
      <c r="C80" s="26">
        <f t="shared" si="40"/>
        <v>729.7342947385081</v>
      </c>
      <c r="D80" s="26">
        <f t="shared" si="41"/>
        <v>369.3029470365979</v>
      </c>
      <c r="E80" s="26">
        <f t="shared" si="42"/>
        <v>360.43134770191017</v>
      </c>
      <c r="F80" s="26">
        <f t="shared" si="43"/>
        <v>57569.44269725463</v>
      </c>
      <c r="G80" s="21">
        <f t="shared" si="44"/>
        <v>110.79088411097938</v>
      </c>
      <c r="H80" s="28">
        <f>IF(F79&lt;0.5,"",IF(OR(YEAR(A80)&lt;YEAR(A81),F80&lt;0.5),SUM($G$11:G80)-SUM($H$11:H79),""))</f>
      </c>
      <c r="I80" s="30">
        <f t="shared" si="45"/>
        <v>30650.843328950195</v>
      </c>
      <c r="J80" s="30">
        <f t="shared" si="46"/>
        <v>20430.55730274536</v>
      </c>
      <c r="K80" s="31">
        <f t="shared" si="48"/>
        <v>46807.96961316743</v>
      </c>
      <c r="L80" s="28">
        <f t="shared" si="49"/>
        <v>7885.2072307185135</v>
      </c>
    </row>
    <row r="81" spans="1:12" ht="12.75">
      <c r="A81" s="6">
        <f t="shared" si="47"/>
        <v>38504</v>
      </c>
      <c r="B81" s="19">
        <f t="shared" si="39"/>
        <v>71</v>
      </c>
      <c r="C81" s="26">
        <f t="shared" si="40"/>
        <v>729.7342947385081</v>
      </c>
      <c r="D81" s="26">
        <f t="shared" si="41"/>
        <v>367.00519719499823</v>
      </c>
      <c r="E81" s="26">
        <f t="shared" si="42"/>
        <v>362.72909754350985</v>
      </c>
      <c r="F81" s="26">
        <f t="shared" si="43"/>
        <v>57206.71359971112</v>
      </c>
      <c r="G81" s="21">
        <f t="shared" si="44"/>
        <v>110.10155915849947</v>
      </c>
      <c r="H81" s="28">
        <f>IF(F80&lt;0.5,"",IF(OR(YEAR(A81)&lt;YEAR(A82),F81&lt;0.5),SUM($G$11:G81)-SUM($H$11:H80),""))</f>
      </c>
      <c r="I81" s="30">
        <f t="shared" si="45"/>
        <v>31017.848526145193</v>
      </c>
      <c r="J81" s="30">
        <f t="shared" si="46"/>
        <v>20793.28640028887</v>
      </c>
      <c r="K81" s="31">
        <f t="shared" si="48"/>
        <v>47419.156017861285</v>
      </c>
      <c r="L81" s="28">
        <f t="shared" si="49"/>
        <v>7885.2072307185135</v>
      </c>
    </row>
    <row r="82" spans="1:12" ht="12.75">
      <c r="A82" s="6">
        <f t="shared" si="47"/>
        <v>38534</v>
      </c>
      <c r="B82" s="19">
        <f t="shared" si="39"/>
        <v>72</v>
      </c>
      <c r="C82" s="26">
        <f t="shared" si="40"/>
        <v>729.7342947385081</v>
      </c>
      <c r="D82" s="26">
        <f t="shared" si="41"/>
        <v>364.69279919815835</v>
      </c>
      <c r="E82" s="26">
        <f t="shared" si="42"/>
        <v>365.04149554034973</v>
      </c>
      <c r="F82" s="26">
        <f t="shared" si="43"/>
        <v>56841.67210417077</v>
      </c>
      <c r="G82" s="21">
        <f t="shared" si="44"/>
        <v>109.4078397594475</v>
      </c>
      <c r="H82" s="28">
        <f>IF(F81&lt;0.5,"",IF(OR(YEAR(A82)&lt;YEAR(A83),F82&lt;0.5),SUM($G$11:G82)-SUM($H$11:H81),""))</f>
      </c>
      <c r="I82" s="30">
        <f t="shared" si="45"/>
        <v>31382.54132534335</v>
      </c>
      <c r="J82" s="30">
        <f t="shared" si="46"/>
        <v>21158.32789582922</v>
      </c>
      <c r="K82" s="31">
        <f t="shared" si="48"/>
        <v>48028.81826693247</v>
      </c>
      <c r="L82" s="28">
        <f t="shared" si="49"/>
        <v>7885.2072307185135</v>
      </c>
    </row>
    <row r="83" spans="1:12" ht="12.75">
      <c r="A83" s="6">
        <f t="shared" si="47"/>
        <v>38565</v>
      </c>
      <c r="B83" s="19">
        <f t="shared" si="39"/>
        <v>73</v>
      </c>
      <c r="C83" s="26">
        <f t="shared" si="40"/>
        <v>729.7342947385081</v>
      </c>
      <c r="D83" s="26">
        <f t="shared" si="41"/>
        <v>362.36565966408864</v>
      </c>
      <c r="E83" s="26">
        <f t="shared" si="42"/>
        <v>367.36863507441944</v>
      </c>
      <c r="F83" s="26">
        <f t="shared" si="43"/>
        <v>56474.303469096354</v>
      </c>
      <c r="G83" s="21">
        <f t="shared" si="44"/>
        <v>108.70969789922658</v>
      </c>
      <c r="H83" s="28">
        <f>IF(F82&lt;0.5,"",IF(OR(YEAR(A83)&lt;YEAR(A84),F83&lt;0.5),SUM($G$11:G83)-SUM($H$11:H82),""))</f>
      </c>
      <c r="I83" s="30">
        <f t="shared" si="45"/>
        <v>31744.90698500744</v>
      </c>
      <c r="J83" s="30">
        <f t="shared" si="46"/>
        <v>21525.696530903642</v>
      </c>
      <c r="K83" s="31">
        <f t="shared" si="48"/>
        <v>48636.96016126781</v>
      </c>
      <c r="L83" s="28">
        <f t="shared" si="49"/>
        <v>7885.2072307185135</v>
      </c>
    </row>
    <row r="84" spans="1:12" ht="12.75">
      <c r="A84" s="6">
        <f t="shared" si="47"/>
        <v>38596</v>
      </c>
      <c r="B84" s="19">
        <f t="shared" si="39"/>
        <v>74</v>
      </c>
      <c r="C84" s="26">
        <f t="shared" si="40"/>
        <v>729.7342947385081</v>
      </c>
      <c r="D84" s="26">
        <f t="shared" si="41"/>
        <v>360.02368461548923</v>
      </c>
      <c r="E84" s="26">
        <f t="shared" si="42"/>
        <v>369.71061012301885</v>
      </c>
      <c r="F84" s="26">
        <f t="shared" si="43"/>
        <v>56104.59285897334</v>
      </c>
      <c r="G84" s="21">
        <f t="shared" si="44"/>
        <v>108.00710538464676</v>
      </c>
      <c r="H84" s="28">
        <f>IF(F83&lt;0.5,"",IF(OR(YEAR(A84)&lt;YEAR(A85),F84&lt;0.5),SUM($G$11:G84)-SUM($H$11:H83),""))</f>
      </c>
      <c r="I84" s="30">
        <f t="shared" si="45"/>
        <v>32104.93066962293</v>
      </c>
      <c r="J84" s="30">
        <f t="shared" si="46"/>
        <v>21895.407141026662</v>
      </c>
      <c r="K84" s="31">
        <f t="shared" si="48"/>
        <v>49243.58549227563</v>
      </c>
      <c r="L84" s="28">
        <f t="shared" si="49"/>
        <v>7885.2072307185135</v>
      </c>
    </row>
    <row r="85" spans="1:12" ht="12.75">
      <c r="A85" s="6">
        <f t="shared" si="47"/>
        <v>38626</v>
      </c>
      <c r="B85" s="19">
        <f t="shared" si="39"/>
        <v>75</v>
      </c>
      <c r="C85" s="26">
        <f t="shared" si="40"/>
        <v>729.7342947385081</v>
      </c>
      <c r="D85" s="26">
        <f t="shared" si="41"/>
        <v>357.666779475955</v>
      </c>
      <c r="E85" s="26">
        <f t="shared" si="42"/>
        <v>372.06751526255306</v>
      </c>
      <c r="F85" s="26">
        <f t="shared" si="43"/>
        <v>55732.52534371078</v>
      </c>
      <c r="G85" s="21">
        <f t="shared" si="44"/>
        <v>107.3000338427865</v>
      </c>
      <c r="H85" s="28">
        <f>IF(F84&lt;0.5,"",IF(OR(YEAR(A85)&lt;YEAR(A86),F85&lt;0.5),SUM($G$11:G85)-SUM($H$11:H84),""))</f>
      </c>
      <c r="I85" s="30">
        <f t="shared" si="45"/>
        <v>32462.597449098885</v>
      </c>
      <c r="J85" s="30">
        <f t="shared" si="46"/>
        <v>22267.474656289214</v>
      </c>
      <c r="K85" s="31">
        <f t="shared" si="48"/>
        <v>49848.69804190937</v>
      </c>
      <c r="L85" s="28">
        <f t="shared" si="49"/>
        <v>7885.2072307185135</v>
      </c>
    </row>
    <row r="86" spans="1:12" ht="12.75">
      <c r="A86" s="6">
        <f t="shared" si="47"/>
        <v>38657</v>
      </c>
      <c r="B86" s="19">
        <f t="shared" si="39"/>
        <v>76</v>
      </c>
      <c r="C86" s="26">
        <f t="shared" si="40"/>
        <v>729.7342947385081</v>
      </c>
      <c r="D86" s="26">
        <f t="shared" si="41"/>
        <v>355.2948490661562</v>
      </c>
      <c r="E86" s="26">
        <f t="shared" si="42"/>
        <v>374.4394456723519</v>
      </c>
      <c r="F86" s="26">
        <f t="shared" si="43"/>
        <v>55358.08589803843</v>
      </c>
      <c r="G86" s="21">
        <f t="shared" si="44"/>
        <v>106.58845471984685</v>
      </c>
      <c r="H86" s="28">
        <f>IF(F85&lt;0.5,"",IF(OR(YEAR(A86)&lt;YEAR(A87),F86&lt;0.5),SUM($G$11:G86)-SUM($H$11:H85),""))</f>
      </c>
      <c r="I86" s="30">
        <f t="shared" si="45"/>
        <v>32817.89229816504</v>
      </c>
      <c r="J86" s="30">
        <f t="shared" si="46"/>
        <v>22641.914101961567</v>
      </c>
      <c r="K86" s="31">
        <f t="shared" si="48"/>
        <v>50452.30158269115</v>
      </c>
      <c r="L86" s="28">
        <f t="shared" si="49"/>
        <v>7885.2072307185135</v>
      </c>
    </row>
    <row r="87" spans="1:12" ht="12.75">
      <c r="A87" s="6">
        <f t="shared" si="47"/>
        <v>38687</v>
      </c>
      <c r="B87" s="19">
        <f t="shared" si="39"/>
        <v>77</v>
      </c>
      <c r="C87" s="26">
        <f t="shared" si="40"/>
        <v>729.7342947385081</v>
      </c>
      <c r="D87" s="26">
        <f t="shared" si="41"/>
        <v>352.907797599995</v>
      </c>
      <c r="E87" s="26">
        <f t="shared" si="42"/>
        <v>376.8264971385131</v>
      </c>
      <c r="F87" s="26">
        <f t="shared" si="43"/>
        <v>54981.259400899915</v>
      </c>
      <c r="G87" s="21">
        <f t="shared" si="44"/>
        <v>105.87233927999849</v>
      </c>
      <c r="H87" s="28">
        <f>IF(F86&lt;0.5,"",IF(OR(YEAR(A87)&lt;YEAR(A88),F87&lt;0.5),SUM($G$11:G87)-SUM($H$11:H86),""))</f>
        <v>1316.7477817971612</v>
      </c>
      <c r="I87" s="30">
        <f t="shared" si="45"/>
        <v>33170.80009576504</v>
      </c>
      <c r="J87" s="30">
        <f t="shared" si="46"/>
        <v>23018.74059910008</v>
      </c>
      <c r="K87" s="31">
        <f t="shared" si="48"/>
        <v>51054.39987773532</v>
      </c>
      <c r="L87" s="28">
        <f t="shared" si="49"/>
        <v>8971.645952510205</v>
      </c>
    </row>
    <row r="88" spans="1:12" ht="12.75">
      <c r="A88" s="6">
        <f t="shared" si="47"/>
        <v>38718</v>
      </c>
      <c r="B88" s="19">
        <f t="shared" si="39"/>
        <v>78</v>
      </c>
      <c r="C88" s="26">
        <f t="shared" si="40"/>
        <v>729.7342947385081</v>
      </c>
      <c r="D88" s="26">
        <f t="shared" si="41"/>
        <v>350.5055286807369</v>
      </c>
      <c r="E88" s="26">
        <f t="shared" si="42"/>
        <v>379.22876605777117</v>
      </c>
      <c r="F88" s="26">
        <f t="shared" si="43"/>
        <v>54602.03063484214</v>
      </c>
      <c r="G88" s="21">
        <f t="shared" si="44"/>
        <v>105.15165860422107</v>
      </c>
      <c r="H88" s="28">
        <f>IF(F87&lt;0.5,"",IF(OR(YEAR(A88)&lt;YEAR(A89),F88&lt;0.5),SUM($G$11:G88)-SUM($H$11:H87),""))</f>
      </c>
      <c r="I88" s="30">
        <f t="shared" si="45"/>
        <v>33521.30562444578</v>
      </c>
      <c r="J88" s="30">
        <f t="shared" si="46"/>
        <v>23397.969365157853</v>
      </c>
      <c r="K88" s="31">
        <f t="shared" si="48"/>
        <v>51654.9966807719</v>
      </c>
      <c r="L88" s="28">
        <f t="shared" si="49"/>
        <v>8971.645952510205</v>
      </c>
    </row>
    <row r="89" spans="1:12" ht="12.75">
      <c r="A89" s="6">
        <f t="shared" si="47"/>
        <v>38749</v>
      </c>
      <c r="B89" s="19">
        <f t="shared" si="39"/>
        <v>79</v>
      </c>
      <c r="C89" s="26">
        <f t="shared" si="40"/>
        <v>729.7342947385081</v>
      </c>
      <c r="D89" s="26">
        <f t="shared" si="41"/>
        <v>348.08794529711867</v>
      </c>
      <c r="E89" s="26">
        <f t="shared" si="42"/>
        <v>381.6463494413894</v>
      </c>
      <c r="F89" s="26">
        <f t="shared" si="43"/>
        <v>54220.38428540075</v>
      </c>
      <c r="G89" s="21">
        <f t="shared" si="44"/>
        <v>104.4263835891356</v>
      </c>
      <c r="H89" s="28">
        <f>IF(F88&lt;0.5,"",IF(OR(YEAR(A89)&lt;YEAR(A90),F89&lt;0.5),SUM($G$11:G89)-SUM($H$11:H88),""))</f>
      </c>
      <c r="I89" s="30">
        <f t="shared" si="45"/>
        <v>33869.3935697429</v>
      </c>
      <c r="J89" s="30">
        <f t="shared" si="46"/>
        <v>23779.615714599244</v>
      </c>
      <c r="K89" s="31">
        <f t="shared" si="48"/>
        <v>52254.09573616999</v>
      </c>
      <c r="L89" s="28">
        <f t="shared" si="49"/>
        <v>8971.645952510205</v>
      </c>
    </row>
    <row r="90" spans="1:12" ht="12.75">
      <c r="A90" s="6">
        <f t="shared" si="47"/>
        <v>38777</v>
      </c>
      <c r="B90" s="19">
        <f t="shared" si="39"/>
        <v>80</v>
      </c>
      <c r="C90" s="26">
        <f t="shared" si="40"/>
        <v>729.7342947385081</v>
      </c>
      <c r="D90" s="26">
        <f t="shared" si="41"/>
        <v>345.65494981942976</v>
      </c>
      <c r="E90" s="26">
        <f t="shared" si="42"/>
        <v>384.0793449190783</v>
      </c>
      <c r="F90" s="26">
        <f t="shared" si="43"/>
        <v>53836.30494048168</v>
      </c>
      <c r="G90" s="21">
        <f t="shared" si="44"/>
        <v>103.69648494582893</v>
      </c>
      <c r="H90" s="28">
        <f>IF(F89&lt;0.5,"",IF(OR(YEAR(A90)&lt;YEAR(A91),F90&lt;0.5),SUM($G$11:G90)-SUM($H$11:H89),""))</f>
      </c>
      <c r="I90" s="30">
        <f t="shared" si="45"/>
        <v>34215.048519562326</v>
      </c>
      <c r="J90" s="30">
        <f t="shared" si="46"/>
        <v>24163.695059518323</v>
      </c>
      <c r="K90" s="31">
        <f t="shared" si="48"/>
        <v>52851.7007789611</v>
      </c>
      <c r="L90" s="28">
        <f t="shared" si="49"/>
        <v>8971.645952510205</v>
      </c>
    </row>
    <row r="91" spans="1:12" ht="12.75">
      <c r="A91" s="6">
        <f t="shared" si="47"/>
        <v>38808</v>
      </c>
      <c r="B91" s="19">
        <f t="shared" si="39"/>
        <v>81</v>
      </c>
      <c r="C91" s="26">
        <f t="shared" si="40"/>
        <v>729.7342947385081</v>
      </c>
      <c r="D91" s="26">
        <f t="shared" si="41"/>
        <v>343.2064439955707</v>
      </c>
      <c r="E91" s="26">
        <f t="shared" si="42"/>
        <v>386.5278507429374</v>
      </c>
      <c r="F91" s="26">
        <f t="shared" si="43"/>
        <v>53449.77708973874</v>
      </c>
      <c r="G91" s="21">
        <f t="shared" si="44"/>
        <v>102.9619331986712</v>
      </c>
      <c r="H91" s="28">
        <f>IF(F90&lt;0.5,"",IF(OR(YEAR(A91)&lt;YEAR(A92),F91&lt;0.5),SUM($G$11:G91)-SUM($H$11:H90),""))</f>
      </c>
      <c r="I91" s="30">
        <f t="shared" si="45"/>
        <v>34558.2549635579</v>
      </c>
      <c r="J91" s="30">
        <f t="shared" si="46"/>
        <v>24550.22291026126</v>
      </c>
      <c r="K91" s="31">
        <f t="shared" si="48"/>
        <v>53447.81553486246</v>
      </c>
      <c r="L91" s="28">
        <f t="shared" si="49"/>
        <v>8971.645952510205</v>
      </c>
    </row>
    <row r="92" spans="1:12" ht="12.75">
      <c r="A92" s="6">
        <f t="shared" si="47"/>
        <v>38838</v>
      </c>
      <c r="B92" s="19">
        <f aca="true" t="shared" si="50" ref="B92:B107">B91+1</f>
        <v>82</v>
      </c>
      <c r="C92" s="26">
        <f aca="true" t="shared" si="51" ref="C92:C107">IF(F91&gt;0.5,C91,"")</f>
        <v>729.7342947385081</v>
      </c>
      <c r="D92" s="26">
        <f aca="true" t="shared" si="52" ref="D92:D107">IF(F91&gt;0.5,$I$3*F91,"")</f>
        <v>340.74232894708445</v>
      </c>
      <c r="E92" s="26">
        <f aca="true" t="shared" si="53" ref="E92:E107">IF(F91&gt;0.5,C92-D92,"")</f>
        <v>388.99196579142364</v>
      </c>
      <c r="F92" s="26">
        <f aca="true" t="shared" si="54" ref="F92:F107">IF(F91&gt;0.5,F91-E92,0)</f>
        <v>53060.78512394732</v>
      </c>
      <c r="G92" s="21">
        <f t="shared" si="44"/>
        <v>102.22269868412533</v>
      </c>
      <c r="H92" s="28">
        <f>IF(F91&lt;0.5,"",IF(OR(YEAR(A92)&lt;YEAR(A93),F92&lt;0.5),SUM($G$11:G92)-SUM($H$11:H91),""))</f>
      </c>
      <c r="I92" s="30">
        <f aca="true" t="shared" si="55" ref="I92:I107">IF(F91&gt;0.5,I91+D92,"")</f>
        <v>34898.99729250498</v>
      </c>
      <c r="J92" s="30">
        <f aca="true" t="shared" si="56" ref="J92:J107">IF(F91&gt;0.5,J91+E92,"")</f>
        <v>24939.214876052683</v>
      </c>
      <c r="K92" s="31">
        <f t="shared" si="48"/>
        <v>54042.443720300216</v>
      </c>
      <c r="L92" s="28">
        <f t="shared" si="49"/>
        <v>8971.645952510205</v>
      </c>
    </row>
    <row r="93" spans="1:12" ht="12.75">
      <c r="A93" s="6">
        <f t="shared" si="47"/>
        <v>38869</v>
      </c>
      <c r="B93" s="19">
        <f t="shared" si="50"/>
        <v>83</v>
      </c>
      <c r="C93" s="26">
        <f t="shared" si="51"/>
        <v>729.7342947385081</v>
      </c>
      <c r="D93" s="26">
        <f t="shared" si="52"/>
        <v>338.2625051651641</v>
      </c>
      <c r="E93" s="26">
        <f t="shared" si="53"/>
        <v>391.471789573344</v>
      </c>
      <c r="F93" s="26">
        <f t="shared" si="54"/>
        <v>52669.313334373976</v>
      </c>
      <c r="G93" s="21">
        <f t="shared" si="44"/>
        <v>101.47875154954923</v>
      </c>
      <c r="H93" s="28">
        <f>IF(F92&lt;0.5,"",IF(OR(YEAR(A93)&lt;YEAR(A94),F93&lt;0.5),SUM($G$11:G93)-SUM($H$11:H92),""))</f>
      </c>
      <c r="I93" s="30">
        <f t="shared" si="55"/>
        <v>35237.25979767014</v>
      </c>
      <c r="J93" s="30">
        <f t="shared" si="56"/>
        <v>25330.686665626028</v>
      </c>
      <c r="K93" s="31">
        <f aca="true" t="shared" si="57" ref="K93:K108">IF(F92&gt;0.5,C93/(1+$I$4)^B93+K92,"")</f>
        <v>54635.58904243264</v>
      </c>
      <c r="L93" s="28">
        <f aca="true" t="shared" si="58" ref="L93:L108">IF(F92&lt;0.5,"",IF(H93="",L92,H93/(1+$I$4)^B93+L92))</f>
        <v>8971.645952510205</v>
      </c>
    </row>
    <row r="94" spans="1:12" ht="12.75">
      <c r="A94" s="6">
        <f t="shared" si="47"/>
        <v>38899</v>
      </c>
      <c r="B94" s="19">
        <f t="shared" si="50"/>
        <v>84</v>
      </c>
      <c r="C94" s="26">
        <f t="shared" si="51"/>
        <v>729.7342947385081</v>
      </c>
      <c r="D94" s="26">
        <f t="shared" si="52"/>
        <v>335.76687250663406</v>
      </c>
      <c r="E94" s="26">
        <f t="shared" si="53"/>
        <v>393.967422231874</v>
      </c>
      <c r="F94" s="26">
        <f t="shared" si="54"/>
        <v>52275.345912142104</v>
      </c>
      <c r="G94" s="21">
        <f t="shared" si="44"/>
        <v>100.73006175199022</v>
      </c>
      <c r="H94" s="28">
        <f>IF(F93&lt;0.5,"",IF(OR(YEAR(A94)&lt;YEAR(A95),F94&lt;0.5),SUM($G$11:G94)-SUM($H$11:H93),""))</f>
      </c>
      <c r="I94" s="30">
        <f t="shared" si="55"/>
        <v>35573.026670176776</v>
      </c>
      <c r="J94" s="30">
        <f t="shared" si="56"/>
        <v>25724.654087857904</v>
      </c>
      <c r="K94" s="31">
        <f t="shared" si="57"/>
        <v>55227.25519917322</v>
      </c>
      <c r="L94" s="28">
        <f t="shared" si="58"/>
        <v>8971.645952510205</v>
      </c>
    </row>
    <row r="95" spans="1:12" ht="12.75">
      <c r="A95" s="6">
        <f t="shared" si="47"/>
        <v>38930</v>
      </c>
      <c r="B95" s="19">
        <f t="shared" si="50"/>
        <v>85</v>
      </c>
      <c r="C95" s="26">
        <f t="shared" si="51"/>
        <v>729.7342947385081</v>
      </c>
      <c r="D95" s="26">
        <f t="shared" si="52"/>
        <v>333.25533018990586</v>
      </c>
      <c r="E95" s="26">
        <f t="shared" si="53"/>
        <v>396.4789645486022</v>
      </c>
      <c r="F95" s="26">
        <f t="shared" si="54"/>
        <v>51878.8669475935</v>
      </c>
      <c r="G95" s="21">
        <f t="shared" si="44"/>
        <v>99.97659905697175</v>
      </c>
      <c r="H95" s="28">
        <f>IF(F94&lt;0.5,"",IF(OR(YEAR(A95)&lt;YEAR(A96),F95&lt;0.5),SUM($G$11:G95)-SUM($H$11:H94),""))</f>
      </c>
      <c r="I95" s="30">
        <f t="shared" si="55"/>
        <v>35906.28200036668</v>
      </c>
      <c r="J95" s="30">
        <f t="shared" si="56"/>
        <v>26121.133052406505</v>
      </c>
      <c r="K95" s="31">
        <f t="shared" si="57"/>
        <v>55817.445879213694</v>
      </c>
      <c r="L95" s="28">
        <f t="shared" si="58"/>
        <v>8971.645952510205</v>
      </c>
    </row>
    <row r="96" spans="1:12" ht="12.75">
      <c r="A96" s="6">
        <f t="shared" si="47"/>
        <v>38961</v>
      </c>
      <c r="B96" s="19">
        <f t="shared" si="50"/>
        <v>86</v>
      </c>
      <c r="C96" s="26">
        <f t="shared" si="51"/>
        <v>729.7342947385081</v>
      </c>
      <c r="D96" s="26">
        <f t="shared" si="52"/>
        <v>330.72777679090854</v>
      </c>
      <c r="E96" s="26">
        <f t="shared" si="53"/>
        <v>399.00651794759955</v>
      </c>
      <c r="F96" s="26">
        <f t="shared" si="54"/>
        <v>51479.8604296459</v>
      </c>
      <c r="G96" s="21">
        <f t="shared" si="44"/>
        <v>99.21833303727256</v>
      </c>
      <c r="H96" s="28">
        <f>IF(F95&lt;0.5,"",IF(OR(YEAR(A96)&lt;YEAR(A97),F96&lt;0.5),SUM($G$11:G96)-SUM($H$11:H95),""))</f>
      </c>
      <c r="I96" s="30">
        <f t="shared" si="55"/>
        <v>36237.00977715759</v>
      </c>
      <c r="J96" s="30">
        <f t="shared" si="56"/>
        <v>26520.139570354106</v>
      </c>
      <c r="K96" s="31">
        <f t="shared" si="57"/>
        <v>56406.16476204709</v>
      </c>
      <c r="L96" s="28">
        <f t="shared" si="58"/>
        <v>8971.645952510205</v>
      </c>
    </row>
    <row r="97" spans="1:12" ht="12.75">
      <c r="A97" s="6">
        <f t="shared" si="47"/>
        <v>38991</v>
      </c>
      <c r="B97" s="19">
        <f t="shared" si="50"/>
        <v>87</v>
      </c>
      <c r="C97" s="26">
        <f t="shared" si="51"/>
        <v>729.7342947385081</v>
      </c>
      <c r="D97" s="26">
        <f t="shared" si="52"/>
        <v>328.1841102389926</v>
      </c>
      <c r="E97" s="26">
        <f t="shared" si="53"/>
        <v>401.55018449951547</v>
      </c>
      <c r="F97" s="26">
        <f t="shared" si="54"/>
        <v>51078.310245146386</v>
      </c>
      <c r="G97" s="21">
        <f t="shared" si="44"/>
        <v>98.45523307169778</v>
      </c>
      <c r="H97" s="28">
        <f>IF(F96&lt;0.5,"",IF(OR(YEAR(A97)&lt;YEAR(A98),F97&lt;0.5),SUM($G$11:G97)-SUM($H$11:H96),""))</f>
      </c>
      <c r="I97" s="30">
        <f t="shared" si="55"/>
        <v>36565.193887396585</v>
      </c>
      <c r="J97" s="30">
        <f t="shared" si="56"/>
        <v>26921.68975485362</v>
      </c>
      <c r="K97" s="31">
        <f t="shared" si="57"/>
        <v>56993.41551799062</v>
      </c>
      <c r="L97" s="28">
        <f t="shared" si="58"/>
        <v>8971.645952510205</v>
      </c>
    </row>
    <row r="98" spans="1:12" ht="12.75">
      <c r="A98" s="6">
        <f t="shared" si="47"/>
        <v>39022</v>
      </c>
      <c r="B98" s="19">
        <f t="shared" si="50"/>
        <v>88</v>
      </c>
      <c r="C98" s="26">
        <f t="shared" si="51"/>
        <v>729.7342947385081</v>
      </c>
      <c r="D98" s="26">
        <f t="shared" si="52"/>
        <v>325.6242278128082</v>
      </c>
      <c r="E98" s="26">
        <f t="shared" si="53"/>
        <v>404.11006692569987</v>
      </c>
      <c r="F98" s="26">
        <f t="shared" si="54"/>
        <v>50674.200178220686</v>
      </c>
      <c r="G98" s="21">
        <f t="shared" si="44"/>
        <v>97.68726834384246</v>
      </c>
      <c r="H98" s="28">
        <f>IF(F97&lt;0.5,"",IF(OR(YEAR(A98)&lt;YEAR(A99),F98&lt;0.5),SUM($G$11:G98)-SUM($H$11:H97),""))</f>
      </c>
      <c r="I98" s="30">
        <f t="shared" si="55"/>
        <v>36890.81811520939</v>
      </c>
      <c r="J98" s="30">
        <f t="shared" si="56"/>
        <v>27325.79982177932</v>
      </c>
      <c r="K98" s="31">
        <f t="shared" si="57"/>
        <v>57579.201808208614</v>
      </c>
      <c r="L98" s="28">
        <f t="shared" si="58"/>
        <v>8971.645952510205</v>
      </c>
    </row>
    <row r="99" spans="1:12" ht="12.75">
      <c r="A99" s="6">
        <f t="shared" si="47"/>
        <v>39052</v>
      </c>
      <c r="B99" s="19">
        <f t="shared" si="50"/>
        <v>89</v>
      </c>
      <c r="C99" s="26">
        <f t="shared" si="51"/>
        <v>729.7342947385081</v>
      </c>
      <c r="D99" s="26">
        <f t="shared" si="52"/>
        <v>323.04802613615686</v>
      </c>
      <c r="E99" s="26">
        <f t="shared" si="53"/>
        <v>406.6862686023512</v>
      </c>
      <c r="F99" s="26">
        <f t="shared" si="54"/>
        <v>50267.513909618334</v>
      </c>
      <c r="G99" s="21">
        <f t="shared" si="44"/>
        <v>96.91440784084706</v>
      </c>
      <c r="H99" s="28">
        <f>IF(F98&lt;0.5,"",IF(OR(YEAR(A99)&lt;YEAR(A100),F99&lt;0.5),SUM($G$11:G99)-SUM($H$11:H98),""))</f>
        <v>1212.9198136741543</v>
      </c>
      <c r="I99" s="30">
        <f t="shared" si="55"/>
        <v>37213.86614134555</v>
      </c>
      <c r="J99" s="30">
        <f t="shared" si="56"/>
        <v>27732.486090381673</v>
      </c>
      <c r="K99" s="31">
        <f t="shared" si="57"/>
        <v>58163.52728473529</v>
      </c>
      <c r="L99" s="28">
        <f t="shared" si="58"/>
        <v>9942.876101927483</v>
      </c>
    </row>
    <row r="100" spans="1:12" ht="12.75">
      <c r="A100" s="6">
        <f t="shared" si="47"/>
        <v>39083</v>
      </c>
      <c r="B100" s="19">
        <f t="shared" si="50"/>
        <v>90</v>
      </c>
      <c r="C100" s="26">
        <f t="shared" si="51"/>
        <v>729.7342947385081</v>
      </c>
      <c r="D100" s="26">
        <f t="shared" si="52"/>
        <v>320.4554011738169</v>
      </c>
      <c r="E100" s="26">
        <f t="shared" si="53"/>
        <v>409.2788935646912</v>
      </c>
      <c r="F100" s="26">
        <f t="shared" si="54"/>
        <v>49858.235016053644</v>
      </c>
      <c r="G100" s="21">
        <f t="shared" si="44"/>
        <v>96.13662035214506</v>
      </c>
      <c r="H100" s="28">
        <f>IF(F99&lt;0.5,"",IF(OR(YEAR(A100)&lt;YEAR(A101),F100&lt;0.5),SUM($G$11:G100)-SUM($H$11:H99),""))</f>
      </c>
      <c r="I100" s="30">
        <f t="shared" si="55"/>
        <v>37534.32154251936</v>
      </c>
      <c r="J100" s="30">
        <f t="shared" si="56"/>
        <v>28141.764983946363</v>
      </c>
      <c r="K100" s="31">
        <f t="shared" si="57"/>
        <v>58746.39559049756</v>
      </c>
      <c r="L100" s="28">
        <f t="shared" si="58"/>
        <v>9942.876101927483</v>
      </c>
    </row>
    <row r="101" spans="1:12" ht="12.75">
      <c r="A101" s="6">
        <f t="shared" si="47"/>
        <v>39114</v>
      </c>
      <c r="B101" s="19">
        <f t="shared" si="50"/>
        <v>91</v>
      </c>
      <c r="C101" s="26">
        <f t="shared" si="51"/>
        <v>729.7342947385081</v>
      </c>
      <c r="D101" s="26">
        <f t="shared" si="52"/>
        <v>317.84624822734196</v>
      </c>
      <c r="E101" s="26">
        <f t="shared" si="53"/>
        <v>411.8880465111661</v>
      </c>
      <c r="F101" s="26">
        <f t="shared" si="54"/>
        <v>49446.34696954248</v>
      </c>
      <c r="G101" s="21">
        <f t="shared" si="44"/>
        <v>95.35387446820259</v>
      </c>
      <c r="H101" s="28">
        <f>IF(F100&lt;0.5,"",IF(OR(YEAR(A101)&lt;YEAR(A102),F101&lt;0.5),SUM($G$11:G101)-SUM($H$11:H100),""))</f>
      </c>
      <c r="I101" s="30">
        <f t="shared" si="55"/>
        <v>37852.1677907467</v>
      </c>
      <c r="J101" s="30">
        <f t="shared" si="56"/>
        <v>28553.653030457528</v>
      </c>
      <c r="K101" s="31">
        <f t="shared" si="57"/>
        <v>59327.810359337724</v>
      </c>
      <c r="L101" s="28">
        <f t="shared" si="58"/>
        <v>9942.876101927483</v>
      </c>
    </row>
    <row r="102" spans="1:12" ht="12.75">
      <c r="A102" s="6">
        <f t="shared" si="47"/>
        <v>39142</v>
      </c>
      <c r="B102" s="19">
        <f t="shared" si="50"/>
        <v>92</v>
      </c>
      <c r="C102" s="26">
        <f t="shared" si="51"/>
        <v>729.7342947385081</v>
      </c>
      <c r="D102" s="26">
        <f t="shared" si="52"/>
        <v>315.22046193083327</v>
      </c>
      <c r="E102" s="26">
        <f t="shared" si="53"/>
        <v>414.5138328076748</v>
      </c>
      <c r="F102" s="26">
        <f t="shared" si="54"/>
        <v>49031.83313673481</v>
      </c>
      <c r="G102" s="21">
        <f t="shared" si="44"/>
        <v>94.56613857924998</v>
      </c>
      <c r="H102" s="28">
        <f>IF(F101&lt;0.5,"",IF(OR(YEAR(A102)&lt;YEAR(A103),F102&lt;0.5),SUM($G$11:G102)-SUM($H$11:H101),""))</f>
      </c>
      <c r="I102" s="30">
        <f t="shared" si="55"/>
        <v>38167.388252677534</v>
      </c>
      <c r="J102" s="30">
        <f t="shared" si="56"/>
        <v>28968.166863265204</v>
      </c>
      <c r="K102" s="31">
        <f t="shared" si="57"/>
        <v>59907.77521603614</v>
      </c>
      <c r="L102" s="28">
        <f t="shared" si="58"/>
        <v>9942.876101927483</v>
      </c>
    </row>
    <row r="103" spans="1:12" ht="12.75">
      <c r="A103" s="6">
        <f t="shared" si="47"/>
        <v>39173</v>
      </c>
      <c r="B103" s="19">
        <f t="shared" si="50"/>
        <v>93</v>
      </c>
      <c r="C103" s="26">
        <f t="shared" si="51"/>
        <v>729.7342947385081</v>
      </c>
      <c r="D103" s="26">
        <f t="shared" si="52"/>
        <v>312.5779362466844</v>
      </c>
      <c r="E103" s="26">
        <f t="shared" si="53"/>
        <v>417.1563584918237</v>
      </c>
      <c r="F103" s="26">
        <f t="shared" si="54"/>
        <v>48614.67677824298</v>
      </c>
      <c r="G103" s="21">
        <f t="shared" si="44"/>
        <v>93.77338087400531</v>
      </c>
      <c r="H103" s="28">
        <f>IF(F102&lt;0.5,"",IF(OR(YEAR(A103)&lt;YEAR(A104),F103&lt;0.5),SUM($G$11:G103)-SUM($H$11:H102),""))</f>
      </c>
      <c r="I103" s="30">
        <f t="shared" si="55"/>
        <v>38479.96618892422</v>
      </c>
      <c r="J103" s="30">
        <f t="shared" si="56"/>
        <v>29385.323221757026</v>
      </c>
      <c r="K103" s="31">
        <f t="shared" si="57"/>
        <v>60486.29377633382</v>
      </c>
      <c r="L103" s="28">
        <f t="shared" si="58"/>
        <v>9942.876101927483</v>
      </c>
    </row>
    <row r="104" spans="1:12" ht="12.75">
      <c r="A104" s="6">
        <f t="shared" si="47"/>
        <v>39203</v>
      </c>
      <c r="B104" s="19">
        <f t="shared" si="50"/>
        <v>94</v>
      </c>
      <c r="C104" s="26">
        <f t="shared" si="51"/>
        <v>729.7342947385081</v>
      </c>
      <c r="D104" s="26">
        <f t="shared" si="52"/>
        <v>309.918564461299</v>
      </c>
      <c r="E104" s="26">
        <f t="shared" si="53"/>
        <v>419.81573027720907</v>
      </c>
      <c r="F104" s="26">
        <f t="shared" si="54"/>
        <v>48194.86104796577</v>
      </c>
      <c r="G104" s="21">
        <f t="shared" si="44"/>
        <v>92.9755693383897</v>
      </c>
      <c r="H104" s="28">
        <f>IF(F103&lt;0.5,"",IF(OR(YEAR(A104)&lt;YEAR(A105),F104&lt;0.5),SUM($G$11:G104)-SUM($H$11:H103),""))</f>
      </c>
      <c r="I104" s="30">
        <f t="shared" si="55"/>
        <v>38789.88475338552</v>
      </c>
      <c r="J104" s="30">
        <f t="shared" si="56"/>
        <v>29805.138952034235</v>
      </c>
      <c r="K104" s="31">
        <f t="shared" si="57"/>
        <v>61063.36964695495</v>
      </c>
      <c r="L104" s="28">
        <f t="shared" si="58"/>
        <v>9942.876101927483</v>
      </c>
    </row>
    <row r="105" spans="1:12" ht="12.75">
      <c r="A105" s="6">
        <f t="shared" si="47"/>
        <v>39234</v>
      </c>
      <c r="B105" s="19">
        <f t="shared" si="50"/>
        <v>95</v>
      </c>
      <c r="C105" s="26">
        <f t="shared" si="51"/>
        <v>729.7342947385081</v>
      </c>
      <c r="D105" s="26">
        <f t="shared" si="52"/>
        <v>307.2422391807818</v>
      </c>
      <c r="E105" s="26">
        <f t="shared" si="53"/>
        <v>422.4920555577263</v>
      </c>
      <c r="F105" s="26">
        <f t="shared" si="54"/>
        <v>47772.368992408046</v>
      </c>
      <c r="G105" s="21">
        <f t="shared" si="44"/>
        <v>92.17267175423453</v>
      </c>
      <c r="H105" s="28">
        <f>IF(F104&lt;0.5,"",IF(OR(YEAR(A105)&lt;YEAR(A106),F105&lt;0.5),SUM($G$11:G105)-SUM($H$11:H104),""))</f>
      </c>
      <c r="I105" s="30">
        <f t="shared" si="55"/>
        <v>39097.12699256631</v>
      </c>
      <c r="J105" s="30">
        <f t="shared" si="56"/>
        <v>30227.63100759196</v>
      </c>
      <c r="K105" s="31">
        <f t="shared" si="57"/>
        <v>61639.006425629384</v>
      </c>
      <c r="L105" s="28">
        <f t="shared" si="58"/>
        <v>9942.876101927483</v>
      </c>
    </row>
    <row r="106" spans="1:12" ht="12.75">
      <c r="A106" s="6">
        <f t="shared" si="47"/>
        <v>39264</v>
      </c>
      <c r="B106" s="19">
        <f t="shared" si="50"/>
        <v>96</v>
      </c>
      <c r="C106" s="26">
        <f t="shared" si="51"/>
        <v>729.7342947385081</v>
      </c>
      <c r="D106" s="26">
        <f t="shared" si="52"/>
        <v>304.54885232660126</v>
      </c>
      <c r="E106" s="26">
        <f t="shared" si="53"/>
        <v>425.1854424119068</v>
      </c>
      <c r="F106" s="26">
        <f t="shared" si="54"/>
        <v>47347.18354999614</v>
      </c>
      <c r="G106" s="21">
        <f t="shared" si="44"/>
        <v>91.36465569798038</v>
      </c>
      <c r="H106" s="28">
        <f>IF(F105&lt;0.5,"",IF(OR(YEAR(A106)&lt;YEAR(A107),F106&lt;0.5),SUM($G$11:G106)-SUM($H$11:H105),""))</f>
      </c>
      <c r="I106" s="30">
        <f t="shared" si="55"/>
        <v>39401.67584489291</v>
      </c>
      <c r="J106" s="30">
        <f t="shared" si="56"/>
        <v>30652.81645000387</v>
      </c>
      <c r="K106" s="31">
        <f t="shared" si="57"/>
        <v>62213.207701115105</v>
      </c>
      <c r="L106" s="28">
        <f t="shared" si="58"/>
        <v>9942.876101927483</v>
      </c>
    </row>
    <row r="107" spans="1:12" ht="12.75">
      <c r="A107" s="6">
        <f t="shared" si="47"/>
        <v>39295</v>
      </c>
      <c r="B107" s="19">
        <f t="shared" si="50"/>
        <v>97</v>
      </c>
      <c r="C107" s="26">
        <f t="shared" si="51"/>
        <v>729.7342947385081</v>
      </c>
      <c r="D107" s="26">
        <f t="shared" si="52"/>
        <v>301.8382951312254</v>
      </c>
      <c r="E107" s="26">
        <f t="shared" si="53"/>
        <v>427.8959996072827</v>
      </c>
      <c r="F107" s="26">
        <f t="shared" si="54"/>
        <v>46919.28755038886</v>
      </c>
      <c r="G107" s="21">
        <f t="shared" si="44"/>
        <v>90.55148853936761</v>
      </c>
      <c r="H107" s="28">
        <f>IF(F106&lt;0.5,"",IF(OR(YEAR(A107)&lt;YEAR(A108),F107&lt;0.5),SUM($G$11:G107)-SUM($H$11:H106),""))</f>
      </c>
      <c r="I107" s="30">
        <f t="shared" si="55"/>
        <v>39703.514140024134</v>
      </c>
      <c r="J107" s="30">
        <f t="shared" si="56"/>
        <v>31080.712449611154</v>
      </c>
      <c r="K107" s="31">
        <f t="shared" si="57"/>
        <v>62785.977053220566</v>
      </c>
      <c r="L107" s="28">
        <f t="shared" si="58"/>
        <v>9942.876101927483</v>
      </c>
    </row>
    <row r="108" spans="1:12" ht="12.75">
      <c r="A108" s="6">
        <f t="shared" si="47"/>
        <v>39326</v>
      </c>
      <c r="B108" s="19">
        <f aca="true" t="shared" si="59" ref="B108:B123">B107+1</f>
        <v>98</v>
      </c>
      <c r="C108" s="26">
        <f aca="true" t="shared" si="60" ref="C108:C123">IF(F107&gt;0.5,C107,"")</f>
        <v>729.7342947385081</v>
      </c>
      <c r="D108" s="26">
        <f aca="true" t="shared" si="61" ref="D108:D123">IF(F107&gt;0.5,$I$3*F107,"")</f>
        <v>299.11045813372897</v>
      </c>
      <c r="E108" s="26">
        <f aca="true" t="shared" si="62" ref="E108:E123">IF(F107&gt;0.5,C108-D108,"")</f>
        <v>430.6238366047791</v>
      </c>
      <c r="F108" s="26">
        <f aca="true" t="shared" si="63" ref="F108:F123">IF(F107&gt;0.5,F107-E108,0)</f>
        <v>46488.66371378408</v>
      </c>
      <c r="G108" s="21">
        <f aca="true" t="shared" si="64" ref="G108:G139">IF(F107&gt;0.5,D108*$I$5,"")</f>
        <v>89.73313744011868</v>
      </c>
      <c r="H108" s="28">
        <f>IF(F107&lt;0.5,"",IF(OR(YEAR(A108)&lt;YEAR(A109),F108&lt;0.5),SUM($G$11:G108)-SUM($H$11:H107),""))</f>
      </c>
      <c r="I108" s="30">
        <f aca="true" t="shared" si="65" ref="I108:I123">IF(F107&gt;0.5,I107+D108,"")</f>
        <v>40002.62459815786</v>
      </c>
      <c r="J108" s="30">
        <f aca="true" t="shared" si="66" ref="J108:J123">IF(F107&gt;0.5,J107+E108,"")</f>
        <v>31511.336286215934</v>
      </c>
      <c r="K108" s="31">
        <f t="shared" si="57"/>
        <v>63357.31805282701</v>
      </c>
      <c r="L108" s="28">
        <f t="shared" si="58"/>
        <v>9942.876101927483</v>
      </c>
    </row>
    <row r="109" spans="1:12" ht="12.75">
      <c r="A109" s="6">
        <f t="shared" si="47"/>
        <v>39356</v>
      </c>
      <c r="B109" s="19">
        <f t="shared" si="59"/>
        <v>99</v>
      </c>
      <c r="C109" s="26">
        <f t="shared" si="60"/>
        <v>729.7342947385081</v>
      </c>
      <c r="D109" s="26">
        <f t="shared" si="61"/>
        <v>296.3652311753735</v>
      </c>
      <c r="E109" s="26">
        <f t="shared" si="62"/>
        <v>433.3690635631346</v>
      </c>
      <c r="F109" s="26">
        <f t="shared" si="63"/>
        <v>46055.294650220945</v>
      </c>
      <c r="G109" s="21">
        <f t="shared" si="64"/>
        <v>88.90956935261204</v>
      </c>
      <c r="H109" s="28">
        <f>IF(F108&lt;0.5,"",IF(OR(YEAR(A109)&lt;YEAR(A110),F109&lt;0.5),SUM($G$11:G109)-SUM($H$11:H108),""))</f>
      </c>
      <c r="I109" s="30">
        <f t="shared" si="65"/>
        <v>40298.98982933324</v>
      </c>
      <c r="J109" s="30">
        <f t="shared" si="66"/>
        <v>31944.70534977907</v>
      </c>
      <c r="K109" s="31">
        <f aca="true" t="shared" si="67" ref="K109:K124">IF(F108&gt;0.5,C109/(1+$I$4)^B109+K108,"")</f>
        <v>63927.234261910744</v>
      </c>
      <c r="L109" s="28">
        <f aca="true" t="shared" si="68" ref="L109:L124">IF(F108&lt;0.5,"",IF(H109="",L108,H109/(1+$I$4)^B109+L108))</f>
        <v>9942.876101927483</v>
      </c>
    </row>
    <row r="110" spans="1:12" ht="12.75">
      <c r="A110" s="6">
        <f t="shared" si="47"/>
        <v>39387</v>
      </c>
      <c r="B110" s="19">
        <f t="shared" si="59"/>
        <v>100</v>
      </c>
      <c r="C110" s="26">
        <f t="shared" si="60"/>
        <v>729.7342947385081</v>
      </c>
      <c r="D110" s="26">
        <f t="shared" si="61"/>
        <v>293.6025033951585</v>
      </c>
      <c r="E110" s="26">
        <f t="shared" si="62"/>
        <v>436.13179134334956</v>
      </c>
      <c r="F110" s="26">
        <f t="shared" si="63"/>
        <v>45619.16285887759</v>
      </c>
      <c r="G110" s="21">
        <f t="shared" si="64"/>
        <v>88.08075101854756</v>
      </c>
      <c r="H110" s="28">
        <f>IF(F109&lt;0.5,"",IF(OR(YEAR(A110)&lt;YEAR(A111),F110&lt;0.5),SUM($G$11:G110)-SUM($H$11:H109),""))</f>
      </c>
      <c r="I110" s="30">
        <f t="shared" si="65"/>
        <v>40592.592332728396</v>
      </c>
      <c r="J110" s="30">
        <f t="shared" si="66"/>
        <v>32380.837141122418</v>
      </c>
      <c r="K110" s="31">
        <f t="shared" si="67"/>
        <v>64495.72923356534</v>
      </c>
      <c r="L110" s="28">
        <f t="shared" si="68"/>
        <v>9942.876101927483</v>
      </c>
    </row>
    <row r="111" spans="1:12" ht="12.75">
      <c r="A111" s="6">
        <f t="shared" si="47"/>
        <v>39417</v>
      </c>
      <c r="B111" s="19">
        <f t="shared" si="59"/>
        <v>101</v>
      </c>
      <c r="C111" s="26">
        <f t="shared" si="60"/>
        <v>729.7342947385081</v>
      </c>
      <c r="D111" s="26">
        <f t="shared" si="61"/>
        <v>290.82216322534464</v>
      </c>
      <c r="E111" s="26">
        <f t="shared" si="62"/>
        <v>438.91213151316344</v>
      </c>
      <c r="F111" s="26">
        <f t="shared" si="63"/>
        <v>45180.25072736443</v>
      </c>
      <c r="G111" s="21">
        <f t="shared" si="64"/>
        <v>87.24664896760339</v>
      </c>
      <c r="H111" s="28">
        <f>IF(F110&lt;0.5,"",IF(OR(YEAR(A111)&lt;YEAR(A112),F111&lt;0.5),SUM($G$11:G111)-SUM($H$11:H110),""))</f>
        <v>1100.864506382457</v>
      </c>
      <c r="I111" s="30">
        <f t="shared" si="65"/>
        <v>40883.414495953744</v>
      </c>
      <c r="J111" s="30">
        <f t="shared" si="66"/>
        <v>32819.749272635585</v>
      </c>
      <c r="K111" s="31">
        <f t="shared" si="67"/>
        <v>65062.80651202379</v>
      </c>
      <c r="L111" s="28">
        <f t="shared" si="68"/>
        <v>10798.359053368831</v>
      </c>
    </row>
    <row r="112" spans="1:12" ht="12.75">
      <c r="A112" s="6">
        <f t="shared" si="47"/>
        <v>39448</v>
      </c>
      <c r="B112" s="19">
        <f t="shared" si="59"/>
        <v>102</v>
      </c>
      <c r="C112" s="26">
        <f t="shared" si="60"/>
        <v>729.7342947385081</v>
      </c>
      <c r="D112" s="26">
        <f t="shared" si="61"/>
        <v>288.0240983869482</v>
      </c>
      <c r="E112" s="26">
        <f t="shared" si="62"/>
        <v>441.7101963515599</v>
      </c>
      <c r="F112" s="26">
        <f t="shared" si="63"/>
        <v>44738.54053101287</v>
      </c>
      <c r="G112" s="21">
        <f t="shared" si="64"/>
        <v>86.40722951608446</v>
      </c>
      <c r="H112" s="28">
        <f>IF(F111&lt;0.5,"",IF(OR(YEAR(A112)&lt;YEAR(A113),F112&lt;0.5),SUM($G$11:G112)-SUM($H$11:H111),""))</f>
      </c>
      <c r="I112" s="30">
        <f t="shared" si="65"/>
        <v>41171.438594340696</v>
      </c>
      <c r="J112" s="30">
        <f t="shared" si="66"/>
        <v>33261.459468987145</v>
      </c>
      <c r="K112" s="31">
        <f t="shared" si="67"/>
        <v>65628.4696326806</v>
      </c>
      <c r="L112" s="28">
        <f t="shared" si="68"/>
        <v>10798.359053368831</v>
      </c>
    </row>
    <row r="113" spans="1:12" ht="12.75">
      <c r="A113" s="6">
        <f t="shared" si="47"/>
        <v>39479</v>
      </c>
      <c r="B113" s="19">
        <f t="shared" si="59"/>
        <v>103</v>
      </c>
      <c r="C113" s="26">
        <f t="shared" si="60"/>
        <v>729.7342947385081</v>
      </c>
      <c r="D113" s="26">
        <f t="shared" si="61"/>
        <v>285.20819588520703</v>
      </c>
      <c r="E113" s="26">
        <f t="shared" si="62"/>
        <v>444.52609885330105</v>
      </c>
      <c r="F113" s="26">
        <f t="shared" si="63"/>
        <v>44294.014432159565</v>
      </c>
      <c r="G113" s="21">
        <f t="shared" si="64"/>
        <v>85.56245876556211</v>
      </c>
      <c r="H113" s="28">
        <f>IF(F112&lt;0.5,"",IF(OR(YEAR(A113)&lt;YEAR(A114),F113&lt;0.5),SUM($G$11:G113)-SUM($H$11:H112),""))</f>
      </c>
      <c r="I113" s="30">
        <f t="shared" si="65"/>
        <v>41456.6467902259</v>
      </c>
      <c r="J113" s="30">
        <f t="shared" si="66"/>
        <v>33705.98556784045</v>
      </c>
      <c r="K113" s="31">
        <f t="shared" si="67"/>
        <v>66192.72212211383</v>
      </c>
      <c r="L113" s="28">
        <f t="shared" si="68"/>
        <v>10798.359053368831</v>
      </c>
    </row>
    <row r="114" spans="1:12" ht="12.75">
      <c r="A114" s="6">
        <f t="shared" si="47"/>
        <v>39508</v>
      </c>
      <c r="B114" s="19">
        <f t="shared" si="59"/>
        <v>104</v>
      </c>
      <c r="C114" s="26">
        <f t="shared" si="60"/>
        <v>729.7342947385081</v>
      </c>
      <c r="D114" s="26">
        <f t="shared" si="61"/>
        <v>282.3743420050172</v>
      </c>
      <c r="E114" s="26">
        <f t="shared" si="62"/>
        <v>447.3599527334909</v>
      </c>
      <c r="F114" s="26">
        <f t="shared" si="63"/>
        <v>43846.65447942608</v>
      </c>
      <c r="G114" s="21">
        <f t="shared" si="64"/>
        <v>84.71230260150516</v>
      </c>
      <c r="H114" s="28">
        <f>IF(F113&lt;0.5,"",IF(OR(YEAR(A114)&lt;YEAR(A115),F114&lt;0.5),SUM($G$11:G114)-SUM($H$11:H113),""))</f>
      </c>
      <c r="I114" s="30">
        <f t="shared" si="65"/>
        <v>41739.02113223092</v>
      </c>
      <c r="J114" s="30">
        <f t="shared" si="66"/>
        <v>34153.34552057394</v>
      </c>
      <c r="K114" s="31">
        <f t="shared" si="67"/>
        <v>66755.56749810708</v>
      </c>
      <c r="L114" s="28">
        <f t="shared" si="68"/>
        <v>10798.359053368831</v>
      </c>
    </row>
    <row r="115" spans="1:12" ht="12.75">
      <c r="A115" s="6">
        <f t="shared" si="47"/>
        <v>39539</v>
      </c>
      <c r="B115" s="19">
        <f t="shared" si="59"/>
        <v>105</v>
      </c>
      <c r="C115" s="26">
        <f t="shared" si="60"/>
        <v>729.7342947385081</v>
      </c>
      <c r="D115" s="26">
        <f t="shared" si="61"/>
        <v>279.52242230634124</v>
      </c>
      <c r="E115" s="26">
        <f t="shared" si="62"/>
        <v>450.21187243216684</v>
      </c>
      <c r="F115" s="26">
        <f t="shared" si="63"/>
        <v>43396.44260699391</v>
      </c>
      <c r="G115" s="21">
        <f t="shared" si="64"/>
        <v>83.85672669190237</v>
      </c>
      <c r="H115" s="28">
        <f>IF(F114&lt;0.5,"",IF(OR(YEAR(A115)&lt;YEAR(A116),F115&lt;0.5),SUM($G$11:G115)-SUM($H$11:H114),""))</f>
      </c>
      <c r="I115" s="30">
        <f t="shared" si="65"/>
        <v>42018.54355453726</v>
      </c>
      <c r="J115" s="30">
        <f t="shared" si="66"/>
        <v>34603.55739300611</v>
      </c>
      <c r="K115" s="31">
        <f t="shared" si="67"/>
        <v>67317.00926967141</v>
      </c>
      <c r="L115" s="28">
        <f t="shared" si="68"/>
        <v>10798.359053368831</v>
      </c>
    </row>
    <row r="116" spans="1:12" ht="12.75">
      <c r="A116" s="6">
        <f t="shared" si="47"/>
        <v>39569</v>
      </c>
      <c r="B116" s="19">
        <f t="shared" si="59"/>
        <v>106</v>
      </c>
      <c r="C116" s="26">
        <f t="shared" si="60"/>
        <v>729.7342947385081</v>
      </c>
      <c r="D116" s="26">
        <f t="shared" si="61"/>
        <v>276.65232161958613</v>
      </c>
      <c r="E116" s="26">
        <f t="shared" si="62"/>
        <v>453.08197311892195</v>
      </c>
      <c r="F116" s="26">
        <f t="shared" si="63"/>
        <v>42943.36063387499</v>
      </c>
      <c r="G116" s="21">
        <f t="shared" si="64"/>
        <v>82.99569648587584</v>
      </c>
      <c r="H116" s="28">
        <f>IF(F115&lt;0.5,"",IF(OR(YEAR(A116)&lt;YEAR(A117),F116&lt;0.5),SUM($G$11:G116)-SUM($H$11:H115),""))</f>
      </c>
      <c r="I116" s="30">
        <f t="shared" si="65"/>
        <v>42295.195876156846</v>
      </c>
      <c r="J116" s="30">
        <f t="shared" si="66"/>
        <v>35056.639366125026</v>
      </c>
      <c r="K116" s="31">
        <f t="shared" si="67"/>
        <v>67877.05093706725</v>
      </c>
      <c r="L116" s="28">
        <f t="shared" si="68"/>
        <v>10798.359053368831</v>
      </c>
    </row>
    <row r="117" spans="1:12" ht="12.75">
      <c r="A117" s="6">
        <f t="shared" si="47"/>
        <v>39600</v>
      </c>
      <c r="B117" s="19">
        <f t="shared" si="59"/>
        <v>107</v>
      </c>
      <c r="C117" s="26">
        <f t="shared" si="60"/>
        <v>729.7342947385081</v>
      </c>
      <c r="D117" s="26">
        <f t="shared" si="61"/>
        <v>273.76392404095304</v>
      </c>
      <c r="E117" s="26">
        <f t="shared" si="62"/>
        <v>455.97037069755504</v>
      </c>
      <c r="F117" s="26">
        <f t="shared" si="63"/>
        <v>42487.39026317743</v>
      </c>
      <c r="G117" s="21">
        <f t="shared" si="64"/>
        <v>82.12917721228591</v>
      </c>
      <c r="H117" s="28">
        <f>IF(F116&lt;0.5,"",IF(OR(YEAR(A117)&lt;YEAR(A118),F117&lt;0.5),SUM($G$11:G117)-SUM($H$11:H116),""))</f>
      </c>
      <c r="I117" s="30">
        <f t="shared" si="65"/>
        <v>42568.9598001978</v>
      </c>
      <c r="J117" s="30">
        <f t="shared" si="66"/>
        <v>35512.60973682258</v>
      </c>
      <c r="K117" s="31">
        <f t="shared" si="67"/>
        <v>68435.6959918262</v>
      </c>
      <c r="L117" s="28">
        <f t="shared" si="68"/>
        <v>10798.359053368831</v>
      </c>
    </row>
    <row r="118" spans="1:12" ht="12.75">
      <c r="A118" s="6">
        <f t="shared" si="47"/>
        <v>39630</v>
      </c>
      <c r="B118" s="19">
        <f t="shared" si="59"/>
        <v>108</v>
      </c>
      <c r="C118" s="26">
        <f t="shared" si="60"/>
        <v>729.7342947385081</v>
      </c>
      <c r="D118" s="26">
        <f t="shared" si="61"/>
        <v>270.85711292775613</v>
      </c>
      <c r="E118" s="26">
        <f t="shared" si="62"/>
        <v>458.87718181075195</v>
      </c>
      <c r="F118" s="26">
        <f t="shared" si="63"/>
        <v>42028.513081366684</v>
      </c>
      <c r="G118" s="21">
        <f t="shared" si="64"/>
        <v>81.25713387832684</v>
      </c>
      <c r="H118" s="28">
        <f>IF(F117&lt;0.5,"",IF(OR(YEAR(A118)&lt;YEAR(A119),F118&lt;0.5),SUM($G$11:G118)-SUM($H$11:H117),""))</f>
      </c>
      <c r="I118" s="30">
        <f t="shared" si="65"/>
        <v>42839.816913125556</v>
      </c>
      <c r="J118" s="30">
        <f t="shared" si="66"/>
        <v>35971.48691863333</v>
      </c>
      <c r="K118" s="31">
        <f t="shared" si="67"/>
        <v>68992.94791677278</v>
      </c>
      <c r="L118" s="28">
        <f t="shared" si="68"/>
        <v>10798.359053368831</v>
      </c>
    </row>
    <row r="119" spans="1:12" ht="12.75">
      <c r="A119" s="6">
        <f t="shared" si="47"/>
        <v>39661</v>
      </c>
      <c r="B119" s="19">
        <f t="shared" si="59"/>
        <v>109</v>
      </c>
      <c r="C119" s="26">
        <f t="shared" si="60"/>
        <v>729.7342947385081</v>
      </c>
      <c r="D119" s="26">
        <f t="shared" si="61"/>
        <v>267.9317708937126</v>
      </c>
      <c r="E119" s="26">
        <f t="shared" si="62"/>
        <v>461.8025238447955</v>
      </c>
      <c r="F119" s="26">
        <f t="shared" si="63"/>
        <v>41566.71055752189</v>
      </c>
      <c r="G119" s="21">
        <f t="shared" si="64"/>
        <v>80.37953126811378</v>
      </c>
      <c r="H119" s="28">
        <f>IF(F118&lt;0.5,"",IF(OR(YEAR(A119)&lt;YEAR(A120),F119&lt;0.5),SUM($G$11:G119)-SUM($H$11:H118),""))</f>
      </c>
      <c r="I119" s="30">
        <f t="shared" si="65"/>
        <v>43107.74868401927</v>
      </c>
      <c r="J119" s="30">
        <f t="shared" si="66"/>
        <v>36433.289442478126</v>
      </c>
      <c r="K119" s="31">
        <f t="shared" si="67"/>
        <v>69548.81018604618</v>
      </c>
      <c r="L119" s="28">
        <f t="shared" si="68"/>
        <v>10798.359053368831</v>
      </c>
    </row>
    <row r="120" spans="1:12" ht="12.75">
      <c r="A120" s="6">
        <f t="shared" si="47"/>
        <v>39692</v>
      </c>
      <c r="B120" s="19">
        <f t="shared" si="59"/>
        <v>110</v>
      </c>
      <c r="C120" s="26">
        <f t="shared" si="60"/>
        <v>729.7342947385081</v>
      </c>
      <c r="D120" s="26">
        <f t="shared" si="61"/>
        <v>264.98777980420203</v>
      </c>
      <c r="E120" s="26">
        <f t="shared" si="62"/>
        <v>464.74651493430605</v>
      </c>
      <c r="F120" s="26">
        <f t="shared" si="63"/>
        <v>41101.964042587584</v>
      </c>
      <c r="G120" s="21">
        <f t="shared" si="64"/>
        <v>79.4963339412606</v>
      </c>
      <c r="H120" s="28">
        <f>IF(F119&lt;0.5,"",IF(OR(YEAR(A120)&lt;YEAR(A121),F120&lt;0.5),SUM($G$11:G120)-SUM($H$11:H119),""))</f>
      </c>
      <c r="I120" s="30">
        <f t="shared" si="65"/>
        <v>43372.73646382347</v>
      </c>
      <c r="J120" s="30">
        <f t="shared" si="66"/>
        <v>36898.03595741243</v>
      </c>
      <c r="K120" s="31">
        <f t="shared" si="67"/>
        <v>70103.28626512189</v>
      </c>
      <c r="L120" s="28">
        <f t="shared" si="68"/>
        <v>10798.359053368831</v>
      </c>
    </row>
    <row r="121" spans="1:12" ht="12.75">
      <c r="A121" s="6">
        <f t="shared" si="47"/>
        <v>39722</v>
      </c>
      <c r="B121" s="19">
        <f t="shared" si="59"/>
        <v>111</v>
      </c>
      <c r="C121" s="26">
        <f t="shared" si="60"/>
        <v>729.7342947385081</v>
      </c>
      <c r="D121" s="26">
        <f t="shared" si="61"/>
        <v>262.0250207714958</v>
      </c>
      <c r="E121" s="26">
        <f t="shared" si="62"/>
        <v>467.7092739670123</v>
      </c>
      <c r="F121" s="26">
        <f t="shared" si="63"/>
        <v>40634.25476862057</v>
      </c>
      <c r="G121" s="21">
        <f t="shared" si="64"/>
        <v>78.60750623144874</v>
      </c>
      <c r="H121" s="28">
        <f>IF(F120&lt;0.5,"",IF(OR(YEAR(A121)&lt;YEAR(A122),F121&lt;0.5),SUM($G$11:G121)-SUM($H$11:H120),""))</f>
      </c>
      <c r="I121" s="30">
        <f t="shared" si="65"/>
        <v>43634.761484594965</v>
      </c>
      <c r="J121" s="30">
        <f t="shared" si="66"/>
        <v>37365.74523137944</v>
      </c>
      <c r="K121" s="31">
        <f t="shared" si="67"/>
        <v>70656.37961083332</v>
      </c>
      <c r="L121" s="28">
        <f t="shared" si="68"/>
        <v>10798.359053368831</v>
      </c>
    </row>
    <row r="122" spans="1:12" ht="12.75">
      <c r="A122" s="6">
        <f t="shared" si="47"/>
        <v>39753</v>
      </c>
      <c r="B122" s="19">
        <f t="shared" si="59"/>
        <v>112</v>
      </c>
      <c r="C122" s="26">
        <f t="shared" si="60"/>
        <v>729.7342947385081</v>
      </c>
      <c r="D122" s="26">
        <f t="shared" si="61"/>
        <v>259.04337414995615</v>
      </c>
      <c r="E122" s="26">
        <f t="shared" si="62"/>
        <v>470.69092058855193</v>
      </c>
      <c r="F122" s="26">
        <f t="shared" si="63"/>
        <v>40163.56384803202</v>
      </c>
      <c r="G122" s="21">
        <f t="shared" si="64"/>
        <v>77.71301224498684</v>
      </c>
      <c r="H122" s="28">
        <f>IF(F121&lt;0.5,"",IF(OR(YEAR(A122)&lt;YEAR(A123),F122&lt;0.5),SUM($G$11:G122)-SUM($H$11:H121),""))</f>
      </c>
      <c r="I122" s="30">
        <f t="shared" si="65"/>
        <v>43893.80485874492</v>
      </c>
      <c r="J122" s="30">
        <f t="shared" si="66"/>
        <v>37836.436151967995</v>
      </c>
      <c r="K122" s="31">
        <f t="shared" si="67"/>
        <v>71208.09367139335</v>
      </c>
      <c r="L122" s="28">
        <f t="shared" si="68"/>
        <v>10798.359053368831</v>
      </c>
    </row>
    <row r="123" spans="1:12" ht="12.75">
      <c r="A123" s="6">
        <f t="shared" si="47"/>
        <v>39783</v>
      </c>
      <c r="B123" s="19">
        <f t="shared" si="59"/>
        <v>113</v>
      </c>
      <c r="C123" s="26">
        <f t="shared" si="60"/>
        <v>729.7342947385081</v>
      </c>
      <c r="D123" s="26">
        <f t="shared" si="61"/>
        <v>256.0427195312041</v>
      </c>
      <c r="E123" s="26">
        <f t="shared" si="62"/>
        <v>473.69157520730397</v>
      </c>
      <c r="F123" s="26">
        <f t="shared" si="63"/>
        <v>39689.872272824716</v>
      </c>
      <c r="G123" s="21">
        <f t="shared" si="64"/>
        <v>76.81281585936124</v>
      </c>
      <c r="H123" s="28">
        <f>IF(F122&lt;0.5,"",IF(OR(YEAR(A123)&lt;YEAR(A124),F123&lt;0.5),SUM($G$11:G123)-SUM($H$11:H122),""))</f>
        <v>979.929924696713</v>
      </c>
      <c r="I123" s="30">
        <f t="shared" si="65"/>
        <v>44149.84757827613</v>
      </c>
      <c r="J123" s="30">
        <f t="shared" si="66"/>
        <v>38310.1277271753</v>
      </c>
      <c r="K123" s="31">
        <f t="shared" si="67"/>
        <v>71758.43188641583</v>
      </c>
      <c r="L123" s="28">
        <f t="shared" si="68"/>
        <v>11537.385421586792</v>
      </c>
    </row>
    <row r="124" spans="1:12" ht="12.75">
      <c r="A124" s="6">
        <f t="shared" si="47"/>
        <v>39814</v>
      </c>
      <c r="B124" s="19">
        <f aca="true" t="shared" si="69" ref="B124:B139">B123+1</f>
        <v>114</v>
      </c>
      <c r="C124" s="26">
        <f aca="true" t="shared" si="70" ref="C124:C139">IF(F123&gt;0.5,C123,"")</f>
        <v>729.7342947385081</v>
      </c>
      <c r="D124" s="26">
        <f aca="true" t="shared" si="71" ref="D124:D139">IF(F123&gt;0.5,$I$3*F123,"")</f>
        <v>253.02293573925755</v>
      </c>
      <c r="E124" s="26">
        <f aca="true" t="shared" si="72" ref="E124:E139">IF(F123&gt;0.5,C124-D124,"")</f>
        <v>476.71135899925054</v>
      </c>
      <c r="F124" s="26">
        <f aca="true" t="shared" si="73" ref="F124:F139">IF(F123&gt;0.5,F123-E124,0)</f>
        <v>39213.160913825464</v>
      </c>
      <c r="G124" s="21">
        <f t="shared" si="64"/>
        <v>75.90688072177726</v>
      </c>
      <c r="H124" s="28">
        <f>IF(F123&lt;0.5,"",IF(OR(YEAR(A124)&lt;YEAR(A125),F124&lt;0.5),SUM($G$11:G124)-SUM($H$11:H123),""))</f>
      </c>
      <c r="I124" s="30">
        <f aca="true" t="shared" si="74" ref="I124:I139">IF(F123&gt;0.5,I123+D124,"")</f>
        <v>44402.87051401539</v>
      </c>
      <c r="J124" s="30">
        <f aca="true" t="shared" si="75" ref="J124:J139">IF(F123&gt;0.5,J123+E124,"")</f>
        <v>38786.83908617455</v>
      </c>
      <c r="K124" s="31">
        <f t="shared" si="67"/>
        <v>72307.397686937</v>
      </c>
      <c r="L124" s="28">
        <f t="shared" si="68"/>
        <v>11537.385421586792</v>
      </c>
    </row>
    <row r="125" spans="1:12" ht="12.75">
      <c r="A125" s="6">
        <f t="shared" si="47"/>
        <v>39845</v>
      </c>
      <c r="B125" s="19">
        <f t="shared" si="69"/>
        <v>115</v>
      </c>
      <c r="C125" s="26">
        <f t="shared" si="70"/>
        <v>729.7342947385081</v>
      </c>
      <c r="D125" s="26">
        <f t="shared" si="71"/>
        <v>249.9839008256373</v>
      </c>
      <c r="E125" s="26">
        <f t="shared" si="72"/>
        <v>479.7503939128708</v>
      </c>
      <c r="F125" s="26">
        <f t="shared" si="73"/>
        <v>38733.41051991259</v>
      </c>
      <c r="G125" s="21">
        <f t="shared" si="64"/>
        <v>74.99517024769119</v>
      </c>
      <c r="H125" s="28">
        <f>IF(F124&lt;0.5,"",IF(OR(YEAR(A125)&lt;YEAR(A126),F125&lt;0.5),SUM($G$11:G125)-SUM($H$11:H124),""))</f>
      </c>
      <c r="I125" s="30">
        <f t="shared" si="74"/>
        <v>44652.85441484103</v>
      </c>
      <c r="J125" s="30">
        <f t="shared" si="75"/>
        <v>39266.58948008742</v>
      </c>
      <c r="K125" s="31">
        <f aca="true" t="shared" si="76" ref="K125:K140">IF(F124&gt;0.5,C125/(1+$I$4)^B125+K124,"")</f>
        <v>72854.99449543691</v>
      </c>
      <c r="L125" s="28">
        <f aca="true" t="shared" si="77" ref="L125:L140">IF(F124&lt;0.5,"",IF(H125="",L124,H125/(1+$I$4)^B125+L124))</f>
        <v>11537.385421586792</v>
      </c>
    </row>
    <row r="126" spans="1:12" ht="12.75">
      <c r="A126" s="6">
        <f t="shared" si="47"/>
        <v>39873</v>
      </c>
      <c r="B126" s="19">
        <f t="shared" si="69"/>
        <v>116</v>
      </c>
      <c r="C126" s="26">
        <f t="shared" si="70"/>
        <v>729.7342947385081</v>
      </c>
      <c r="D126" s="26">
        <f t="shared" si="71"/>
        <v>246.92549206444275</v>
      </c>
      <c r="E126" s="26">
        <f t="shared" si="72"/>
        <v>482.8088026740653</v>
      </c>
      <c r="F126" s="26">
        <f t="shared" si="73"/>
        <v>38250.601717238525</v>
      </c>
      <c r="G126" s="21">
        <f t="shared" si="64"/>
        <v>74.07764761933282</v>
      </c>
      <c r="H126" s="28">
        <f>IF(F125&lt;0.5,"",IF(OR(YEAR(A126)&lt;YEAR(A127),F126&lt;0.5),SUM($G$11:G126)-SUM($H$11:H125),""))</f>
      </c>
      <c r="I126" s="30">
        <f t="shared" si="74"/>
        <v>44899.779906905474</v>
      </c>
      <c r="J126" s="30">
        <f t="shared" si="75"/>
        <v>39749.39828276149</v>
      </c>
      <c r="K126" s="31">
        <f t="shared" si="76"/>
        <v>73401.22572586077</v>
      </c>
      <c r="L126" s="28">
        <f t="shared" si="77"/>
        <v>11537.385421586792</v>
      </c>
    </row>
    <row r="127" spans="1:12" ht="12.75">
      <c r="A127" s="6">
        <f t="shared" si="47"/>
        <v>39904</v>
      </c>
      <c r="B127" s="19">
        <f t="shared" si="69"/>
        <v>117</v>
      </c>
      <c r="C127" s="26">
        <f t="shared" si="70"/>
        <v>729.7342947385081</v>
      </c>
      <c r="D127" s="26">
        <f t="shared" si="71"/>
        <v>243.84758594739557</v>
      </c>
      <c r="E127" s="26">
        <f t="shared" si="72"/>
        <v>485.8867087911125</v>
      </c>
      <c r="F127" s="26">
        <f t="shared" si="73"/>
        <v>37764.71500844741</v>
      </c>
      <c r="G127" s="21">
        <f t="shared" si="64"/>
        <v>73.15427578421867</v>
      </c>
      <c r="H127" s="28">
        <f>IF(F126&lt;0.5,"",IF(OR(YEAR(A127)&lt;YEAR(A128),F127&lt;0.5),SUM($G$11:G127)-SUM($H$11:H126),""))</f>
      </c>
      <c r="I127" s="30">
        <f t="shared" si="74"/>
        <v>45143.62749285287</v>
      </c>
      <c r="J127" s="30">
        <f t="shared" si="75"/>
        <v>40235.2849915526</v>
      </c>
      <c r="K127" s="31">
        <f t="shared" si="76"/>
        <v>73946.09478364018</v>
      </c>
      <c r="L127" s="28">
        <f t="shared" si="77"/>
        <v>11537.385421586792</v>
      </c>
    </row>
    <row r="128" spans="1:12" ht="12.75">
      <c r="A128" s="6">
        <f t="shared" si="47"/>
        <v>39934</v>
      </c>
      <c r="B128" s="19">
        <f t="shared" si="69"/>
        <v>118</v>
      </c>
      <c r="C128" s="26">
        <f t="shared" si="70"/>
        <v>729.7342947385081</v>
      </c>
      <c r="D128" s="26">
        <f t="shared" si="71"/>
        <v>240.75005817885224</v>
      </c>
      <c r="E128" s="26">
        <f t="shared" si="72"/>
        <v>488.98423655965587</v>
      </c>
      <c r="F128" s="26">
        <f t="shared" si="73"/>
        <v>37275.73077188776</v>
      </c>
      <c r="G128" s="21">
        <f t="shared" si="64"/>
        <v>72.22501745365567</v>
      </c>
      <c r="H128" s="28">
        <f>IF(F127&lt;0.5,"",IF(OR(YEAR(A128)&lt;YEAR(A129),F128&lt;0.5),SUM($G$11:G128)-SUM($H$11:H127),""))</f>
      </c>
      <c r="I128" s="30">
        <f t="shared" si="74"/>
        <v>45384.37755103173</v>
      </c>
      <c r="J128" s="30">
        <f t="shared" si="75"/>
        <v>40724.26922811226</v>
      </c>
      <c r="K128" s="31">
        <f t="shared" si="76"/>
        <v>74489.60506571441</v>
      </c>
      <c r="L128" s="28">
        <f t="shared" si="77"/>
        <v>11537.385421586792</v>
      </c>
    </row>
    <row r="129" spans="1:12" ht="12.75">
      <c r="A129" s="6">
        <f t="shared" si="47"/>
        <v>39965</v>
      </c>
      <c r="B129" s="19">
        <f t="shared" si="69"/>
        <v>119</v>
      </c>
      <c r="C129" s="26">
        <f t="shared" si="70"/>
        <v>729.7342947385081</v>
      </c>
      <c r="D129" s="26">
        <f t="shared" si="71"/>
        <v>237.63278367078442</v>
      </c>
      <c r="E129" s="26">
        <f t="shared" si="72"/>
        <v>492.10151106772366</v>
      </c>
      <c r="F129" s="26">
        <f t="shared" si="73"/>
        <v>36783.62926082003</v>
      </c>
      <c r="G129" s="21">
        <f t="shared" si="64"/>
        <v>71.28983510123533</v>
      </c>
      <c r="H129" s="28">
        <f>IF(F128&lt;0.5,"",IF(OR(YEAR(A129)&lt;YEAR(A130),F129&lt;0.5),SUM($G$11:G129)-SUM($H$11:H128),""))</f>
      </c>
      <c r="I129" s="30">
        <f t="shared" si="74"/>
        <v>45622.010334702514</v>
      </c>
      <c r="J129" s="30">
        <f t="shared" si="75"/>
        <v>41216.37073917998</v>
      </c>
      <c r="K129" s="31">
        <f t="shared" si="76"/>
        <v>75031.75996055154</v>
      </c>
      <c r="L129" s="28">
        <f t="shared" si="77"/>
        <v>11537.385421586792</v>
      </c>
    </row>
    <row r="130" spans="1:12" ht="12.75">
      <c r="A130" s="6">
        <f t="shared" si="47"/>
        <v>39995</v>
      </c>
      <c r="B130" s="19">
        <f t="shared" si="69"/>
        <v>120</v>
      </c>
      <c r="C130" s="26">
        <f t="shared" si="70"/>
        <v>729.7342947385081</v>
      </c>
      <c r="D130" s="26">
        <f t="shared" si="71"/>
        <v>234.49563653772768</v>
      </c>
      <c r="E130" s="26">
        <f t="shared" si="72"/>
        <v>495.2386582007804</v>
      </c>
      <c r="F130" s="26">
        <f t="shared" si="73"/>
        <v>36288.39060261925</v>
      </c>
      <c r="G130" s="21">
        <f t="shared" si="64"/>
        <v>70.3486909613183</v>
      </c>
      <c r="H130" s="28">
        <f>IF(F129&lt;0.5,"",IF(OR(YEAR(A130)&lt;YEAR(A131),F130&lt;0.5),SUM($G$11:G130)-SUM($H$11:H129),""))</f>
      </c>
      <c r="I130" s="30">
        <f t="shared" si="74"/>
        <v>45856.50597124024</v>
      </c>
      <c r="J130" s="30">
        <f t="shared" si="75"/>
        <v>41711.609397380766</v>
      </c>
      <c r="K130" s="31">
        <f t="shared" si="76"/>
        <v>75572.56284816963</v>
      </c>
      <c r="L130" s="28">
        <f t="shared" si="77"/>
        <v>11537.385421586792</v>
      </c>
    </row>
    <row r="131" spans="1:12" ht="12.75">
      <c r="A131" s="6">
        <f t="shared" si="47"/>
        <v>40026</v>
      </c>
      <c r="B131" s="19">
        <f t="shared" si="69"/>
        <v>121</v>
      </c>
      <c r="C131" s="26">
        <f t="shared" si="70"/>
        <v>729.7342947385081</v>
      </c>
      <c r="D131" s="26">
        <f t="shared" si="71"/>
        <v>231.3384900916977</v>
      </c>
      <c r="E131" s="26">
        <f t="shared" si="72"/>
        <v>498.39580464681035</v>
      </c>
      <c r="F131" s="26">
        <f t="shared" si="73"/>
        <v>35789.99479797244</v>
      </c>
      <c r="G131" s="21">
        <f t="shared" si="64"/>
        <v>69.40154702750931</v>
      </c>
      <c r="H131" s="28">
        <f>IF(F130&lt;0.5,"",IF(OR(YEAR(A131)&lt;YEAR(A132),F131&lt;0.5),SUM($G$11:G131)-SUM($H$11:H130),""))</f>
      </c>
      <c r="I131" s="30">
        <f t="shared" si="74"/>
        <v>46087.844461331944</v>
      </c>
      <c r="J131" s="30">
        <f t="shared" si="75"/>
        <v>42210.005202027576</v>
      </c>
      <c r="K131" s="31">
        <f t="shared" si="76"/>
        <v>76112.01710015775</v>
      </c>
      <c r="L131" s="28">
        <f t="shared" si="77"/>
        <v>11537.385421586792</v>
      </c>
    </row>
    <row r="132" spans="1:12" ht="12.75">
      <c r="A132" s="6">
        <f t="shared" si="47"/>
        <v>40057</v>
      </c>
      <c r="B132" s="19">
        <f t="shared" si="69"/>
        <v>122</v>
      </c>
      <c r="C132" s="26">
        <f t="shared" si="70"/>
        <v>729.7342947385081</v>
      </c>
      <c r="D132" s="26">
        <f t="shared" si="71"/>
        <v>228.16121683707428</v>
      </c>
      <c r="E132" s="26">
        <f t="shared" si="72"/>
        <v>501.5730779014338</v>
      </c>
      <c r="F132" s="26">
        <f t="shared" si="73"/>
        <v>35288.421720071005</v>
      </c>
      <c r="G132" s="21">
        <f t="shared" si="64"/>
        <v>68.44836505112228</v>
      </c>
      <c r="H132" s="28">
        <f>IF(F131&lt;0.5,"",IF(OR(YEAR(A132)&lt;YEAR(A133),F132&lt;0.5),SUM($G$11:G132)-SUM($H$11:H131),""))</f>
      </c>
      <c r="I132" s="30">
        <f t="shared" si="74"/>
        <v>46316.00567816902</v>
      </c>
      <c r="J132" s="30">
        <f t="shared" si="75"/>
        <v>42711.57827992901</v>
      </c>
      <c r="K132" s="31">
        <f t="shared" si="76"/>
        <v>76650.12607969703</v>
      </c>
      <c r="L132" s="28">
        <f t="shared" si="77"/>
        <v>11537.385421586792</v>
      </c>
    </row>
    <row r="133" spans="1:12" ht="12.75">
      <c r="A133" s="6">
        <f t="shared" si="47"/>
        <v>40087</v>
      </c>
      <c r="B133" s="19">
        <f t="shared" si="69"/>
        <v>123</v>
      </c>
      <c r="C133" s="26">
        <f t="shared" si="70"/>
        <v>729.7342947385081</v>
      </c>
      <c r="D133" s="26">
        <f t="shared" si="71"/>
        <v>224.96368846545263</v>
      </c>
      <c r="E133" s="26">
        <f t="shared" si="72"/>
        <v>504.7706062730555</v>
      </c>
      <c r="F133" s="26">
        <f t="shared" si="73"/>
        <v>34783.65111379795</v>
      </c>
      <c r="G133" s="21">
        <f t="shared" si="64"/>
        <v>67.48910653963578</v>
      </c>
      <c r="H133" s="28">
        <f>IF(F132&lt;0.5,"",IF(OR(YEAR(A133)&lt;YEAR(A134),F133&lt;0.5),SUM($G$11:G133)-SUM($H$11:H132),""))</f>
      </c>
      <c r="I133" s="30">
        <f t="shared" si="74"/>
        <v>46540.969366634476</v>
      </c>
      <c r="J133" s="30">
        <f t="shared" si="75"/>
        <v>43216.34888620207</v>
      </c>
      <c r="K133" s="31">
        <f t="shared" si="76"/>
        <v>77186.89314158159</v>
      </c>
      <c r="L133" s="28">
        <f t="shared" si="77"/>
        <v>11537.385421586792</v>
      </c>
    </row>
    <row r="134" spans="1:12" ht="12.75">
      <c r="A134" s="6">
        <f t="shared" si="47"/>
        <v>40118</v>
      </c>
      <c r="B134" s="19">
        <f t="shared" si="69"/>
        <v>124</v>
      </c>
      <c r="C134" s="26">
        <f t="shared" si="70"/>
        <v>729.7342947385081</v>
      </c>
      <c r="D134" s="26">
        <f t="shared" si="71"/>
        <v>221.7457758504619</v>
      </c>
      <c r="E134" s="26">
        <f t="shared" si="72"/>
        <v>507.9885188880462</v>
      </c>
      <c r="F134" s="26">
        <f t="shared" si="73"/>
        <v>34275.6625949099</v>
      </c>
      <c r="G134" s="21">
        <f t="shared" si="64"/>
        <v>66.52373275513857</v>
      </c>
      <c r="H134" s="28">
        <f>IF(F133&lt;0.5,"",IF(OR(YEAR(A134)&lt;YEAR(A135),F134&lt;0.5),SUM($G$11:G134)-SUM($H$11:H133),""))</f>
      </c>
      <c r="I134" s="30">
        <f t="shared" si="74"/>
        <v>46762.715142484936</v>
      </c>
      <c r="J134" s="30">
        <f t="shared" si="75"/>
        <v>43724.33740509011</v>
      </c>
      <c r="K134" s="31">
        <f t="shared" si="76"/>
        <v>77722.3216322395</v>
      </c>
      <c r="L134" s="28">
        <f t="shared" si="77"/>
        <v>11537.385421586792</v>
      </c>
    </row>
    <row r="135" spans="1:12" ht="12.75">
      <c r="A135" s="6">
        <f t="shared" si="47"/>
        <v>40148</v>
      </c>
      <c r="B135" s="19">
        <f t="shared" si="69"/>
        <v>125</v>
      </c>
      <c r="C135" s="26">
        <f t="shared" si="70"/>
        <v>729.7342947385081</v>
      </c>
      <c r="D135" s="26">
        <f t="shared" si="71"/>
        <v>218.50734904255063</v>
      </c>
      <c r="E135" s="26">
        <f t="shared" si="72"/>
        <v>511.22694569595745</v>
      </c>
      <c r="F135" s="26">
        <f t="shared" si="73"/>
        <v>33764.43564921395</v>
      </c>
      <c r="G135" s="21">
        <f t="shared" si="64"/>
        <v>65.55220471276519</v>
      </c>
      <c r="H135" s="28">
        <f>IF(F134&lt;0.5,"",IF(OR(YEAR(A135)&lt;YEAR(A136),F135&lt;0.5),SUM($G$11:G135)-SUM($H$11:H134),""))</f>
        <v>849.4124739754006</v>
      </c>
      <c r="I135" s="30">
        <f t="shared" si="74"/>
        <v>46981.222491527486</v>
      </c>
      <c r="J135" s="30">
        <f t="shared" si="75"/>
        <v>44235.564350786066</v>
      </c>
      <c r="K135" s="31">
        <f t="shared" si="76"/>
        <v>78256.41488975364</v>
      </c>
      <c r="L135" s="28">
        <f t="shared" si="77"/>
        <v>12159.071257746133</v>
      </c>
    </row>
    <row r="136" spans="1:12" ht="12.75">
      <c r="A136" s="6">
        <f t="shared" si="47"/>
        <v>40179</v>
      </c>
      <c r="B136" s="19">
        <f t="shared" si="69"/>
        <v>126</v>
      </c>
      <c r="C136" s="26">
        <f t="shared" si="70"/>
        <v>729.7342947385081</v>
      </c>
      <c r="D136" s="26">
        <f t="shared" si="71"/>
        <v>215.2482772637389</v>
      </c>
      <c r="E136" s="26">
        <f t="shared" si="72"/>
        <v>514.4860174747691</v>
      </c>
      <c r="F136" s="26">
        <f t="shared" si="73"/>
        <v>33249.94963173918</v>
      </c>
      <c r="G136" s="21">
        <f t="shared" si="64"/>
        <v>64.57448317912167</v>
      </c>
      <c r="H136" s="28">
        <f>IF(F135&lt;0.5,"",IF(OR(YEAR(A136)&lt;YEAR(A137),F136&lt;0.5),SUM($G$11:G136)-SUM($H$11:H135),""))</f>
      </c>
      <c r="I136" s="30">
        <f t="shared" si="74"/>
        <v>47196.47076879122</v>
      </c>
      <c r="J136" s="30">
        <f t="shared" si="75"/>
        <v>44750.05036826083</v>
      </c>
      <c r="K136" s="31">
        <f t="shared" si="76"/>
        <v>78789.17624388244</v>
      </c>
      <c r="L136" s="28">
        <f t="shared" si="77"/>
        <v>12159.071257746133</v>
      </c>
    </row>
    <row r="137" spans="1:12" ht="12.75">
      <c r="A137" s="6">
        <f t="shared" si="47"/>
        <v>40210</v>
      </c>
      <c r="B137" s="19">
        <f t="shared" si="69"/>
        <v>127</v>
      </c>
      <c r="C137" s="26">
        <f t="shared" si="70"/>
        <v>729.7342947385081</v>
      </c>
      <c r="D137" s="26">
        <f t="shared" si="71"/>
        <v>211.96842890233728</v>
      </c>
      <c r="E137" s="26">
        <f t="shared" si="72"/>
        <v>517.7658658361709</v>
      </c>
      <c r="F137" s="26">
        <f t="shared" si="73"/>
        <v>32732.18376590301</v>
      </c>
      <c r="G137" s="21">
        <f t="shared" si="64"/>
        <v>63.59052867070118</v>
      </c>
      <c r="H137" s="28">
        <f>IF(F136&lt;0.5,"",IF(OR(YEAR(A137)&lt;YEAR(A138),F137&lt;0.5),SUM($G$11:G137)-SUM($H$11:H136),""))</f>
      </c>
      <c r="I137" s="30">
        <f t="shared" si="74"/>
        <v>47408.43919769356</v>
      </c>
      <c r="J137" s="30">
        <f t="shared" si="75"/>
        <v>45267.816234097</v>
      </c>
      <c r="K137" s="31">
        <f t="shared" si="76"/>
        <v>79320.60901608075</v>
      </c>
      <c r="L137" s="28">
        <f t="shared" si="77"/>
        <v>12159.071257746133</v>
      </c>
    </row>
    <row r="138" spans="1:12" ht="12.75">
      <c r="A138" s="6">
        <f t="shared" si="47"/>
        <v>40238</v>
      </c>
      <c r="B138" s="19">
        <f t="shared" si="69"/>
        <v>128</v>
      </c>
      <c r="C138" s="26">
        <f t="shared" si="70"/>
        <v>729.7342947385081</v>
      </c>
      <c r="D138" s="26">
        <f t="shared" si="71"/>
        <v>208.66767150763167</v>
      </c>
      <c r="E138" s="26">
        <f t="shared" si="72"/>
        <v>521.0666232308764</v>
      </c>
      <c r="F138" s="26">
        <f t="shared" si="73"/>
        <v>32211.117142672134</v>
      </c>
      <c r="G138" s="21">
        <f t="shared" si="64"/>
        <v>62.6003014522895</v>
      </c>
      <c r="H138" s="28">
        <f>IF(F137&lt;0.5,"",IF(OR(YEAR(A138)&lt;YEAR(A139),F138&lt;0.5),SUM($G$11:G138)-SUM($H$11:H137),""))</f>
      </c>
      <c r="I138" s="30">
        <f t="shared" si="74"/>
        <v>47617.10686920119</v>
      </c>
      <c r="J138" s="30">
        <f t="shared" si="75"/>
        <v>45788.88285732788</v>
      </c>
      <c r="K138" s="31">
        <f t="shared" si="76"/>
        <v>79850.71651952046</v>
      </c>
      <c r="L138" s="28">
        <f t="shared" si="77"/>
        <v>12159.071257746133</v>
      </c>
    </row>
    <row r="139" spans="1:12" ht="12.75">
      <c r="A139" s="6">
        <f t="shared" si="47"/>
        <v>40269</v>
      </c>
      <c r="B139" s="19">
        <f t="shared" si="69"/>
        <v>129</v>
      </c>
      <c r="C139" s="26">
        <f t="shared" si="70"/>
        <v>729.7342947385081</v>
      </c>
      <c r="D139" s="26">
        <f t="shared" si="71"/>
        <v>205.34587178453484</v>
      </c>
      <c r="E139" s="26">
        <f t="shared" si="72"/>
        <v>524.3884229539733</v>
      </c>
      <c r="F139" s="26">
        <f t="shared" si="73"/>
        <v>31686.72871971816</v>
      </c>
      <c r="G139" s="21">
        <f t="shared" si="64"/>
        <v>61.60376153536045</v>
      </c>
      <c r="H139" s="28">
        <f>IF(F138&lt;0.5,"",IF(OR(YEAR(A139)&lt;YEAR(A140),F139&lt;0.5),SUM($G$11:G139)-SUM($H$11:H138),""))</f>
      </c>
      <c r="I139" s="30">
        <f t="shared" si="74"/>
        <v>47822.452740985726</v>
      </c>
      <c r="J139" s="30">
        <f t="shared" si="75"/>
        <v>46313.27128028186</v>
      </c>
      <c r="K139" s="31">
        <f t="shared" si="76"/>
        <v>80379.5020591112</v>
      </c>
      <c r="L139" s="28">
        <f t="shared" si="77"/>
        <v>12159.071257746133</v>
      </c>
    </row>
    <row r="140" spans="1:12" ht="12.75">
      <c r="A140" s="6">
        <f t="shared" si="47"/>
        <v>40299</v>
      </c>
      <c r="B140" s="19">
        <f aca="true" t="shared" si="78" ref="B140:B155">B139+1</f>
        <v>130</v>
      </c>
      <c r="C140" s="26">
        <f aca="true" t="shared" si="79" ref="C140:C155">IF(F139&gt;0.5,C139,"")</f>
        <v>729.7342947385081</v>
      </c>
      <c r="D140" s="26">
        <f aca="true" t="shared" si="80" ref="D140:D155">IF(F139&gt;0.5,$I$3*F139,"")</f>
        <v>202.00289558820327</v>
      </c>
      <c r="E140" s="26">
        <f aca="true" t="shared" si="81" ref="E140:E155">IF(F139&gt;0.5,C140-D140,"")</f>
        <v>527.7313991503048</v>
      </c>
      <c r="F140" s="26">
        <f aca="true" t="shared" si="82" ref="F140:F155">IF(F139&gt;0.5,F139-E140,0)</f>
        <v>31158.997320567858</v>
      </c>
      <c r="G140" s="21">
        <f aca="true" t="shared" si="83" ref="G140:G171">IF(F139&gt;0.5,D140*$I$5,"")</f>
        <v>60.600868676460976</v>
      </c>
      <c r="H140" s="28">
        <f>IF(F139&lt;0.5,"",IF(OR(YEAR(A140)&lt;YEAR(A141),F140&lt;0.5),SUM($G$11:G140)-SUM($H$11:H139),""))</f>
      </c>
      <c r="I140" s="30">
        <f aca="true" t="shared" si="84" ref="I140:I155">IF(F139&gt;0.5,I139+D140,"")</f>
        <v>48024.455636573926</v>
      </c>
      <c r="J140" s="30">
        <f aca="true" t="shared" si="85" ref="J140:J155">IF(F139&gt;0.5,J139+E140,"")</f>
        <v>46841.00267943216</v>
      </c>
      <c r="K140" s="31">
        <f t="shared" si="76"/>
        <v>80906.96893152091</v>
      </c>
      <c r="L140" s="28">
        <f t="shared" si="77"/>
        <v>12159.071257746133</v>
      </c>
    </row>
    <row r="141" spans="1:12" ht="12.75">
      <c r="A141" s="6">
        <f aca="true" t="shared" si="86" ref="A141:A204">IF($C$6&lt;27,DATE((YEAR(A140)-1900),MONTH(A140)+1,$C$6),DATE((YEAR(A140)-1900),MONTH(A140)+2,1)-1)</f>
        <v>40330</v>
      </c>
      <c r="B141" s="19">
        <f t="shared" si="78"/>
        <v>131</v>
      </c>
      <c r="C141" s="26">
        <f t="shared" si="79"/>
        <v>729.7342947385081</v>
      </c>
      <c r="D141" s="26">
        <f t="shared" si="80"/>
        <v>198.6386079186201</v>
      </c>
      <c r="E141" s="26">
        <f t="shared" si="81"/>
        <v>531.095686819888</v>
      </c>
      <c r="F141" s="26">
        <f t="shared" si="82"/>
        <v>30627.90163374797</v>
      </c>
      <c r="G141" s="21">
        <f t="shared" si="83"/>
        <v>59.59158237558603</v>
      </c>
      <c r="H141" s="28">
        <f>IF(F140&lt;0.5,"",IF(OR(YEAR(A141)&lt;YEAR(A142),F141&lt;0.5),SUM($G$11:G141)-SUM($H$11:H140),""))</f>
      </c>
      <c r="I141" s="30">
        <f t="shared" si="84"/>
        <v>48223.094244492546</v>
      </c>
      <c r="J141" s="30">
        <f t="shared" si="85"/>
        <v>47372.098366252045</v>
      </c>
      <c r="K141" s="31">
        <f aca="true" t="shared" si="87" ref="K141:K156">IF(F140&gt;0.5,C141/(1+$I$4)^B141+K140,"")</f>
        <v>81433.12042519644</v>
      </c>
      <c r="L141" s="28">
        <f aca="true" t="shared" si="88" ref="L141:L156">IF(F140&lt;0.5,"",IF(H141="",L140,H141/(1+$I$4)^B141+L140))</f>
        <v>12159.071257746133</v>
      </c>
    </row>
    <row r="142" spans="1:12" ht="12.75">
      <c r="A142" s="6">
        <f t="shared" si="86"/>
        <v>40360</v>
      </c>
      <c r="B142" s="19">
        <f t="shared" si="78"/>
        <v>132</v>
      </c>
      <c r="C142" s="26">
        <f t="shared" si="79"/>
        <v>729.7342947385081</v>
      </c>
      <c r="D142" s="26">
        <f t="shared" si="80"/>
        <v>195.25287291514329</v>
      </c>
      <c r="E142" s="26">
        <f t="shared" si="81"/>
        <v>534.4814218233648</v>
      </c>
      <c r="F142" s="26">
        <f t="shared" si="82"/>
        <v>30093.420211924604</v>
      </c>
      <c r="G142" s="21">
        <f t="shared" si="83"/>
        <v>58.57586187454298</v>
      </c>
      <c r="H142" s="28">
        <f>IF(F141&lt;0.5,"",IF(OR(YEAR(A142)&lt;YEAR(A143),F142&lt;0.5),SUM($G$11:G142)-SUM($H$11:H141),""))</f>
      </c>
      <c r="I142" s="30">
        <f t="shared" si="84"/>
        <v>48418.34711740769</v>
      </c>
      <c r="J142" s="30">
        <f t="shared" si="85"/>
        <v>47906.57978807541</v>
      </c>
      <c r="K142" s="31">
        <f t="shared" si="87"/>
        <v>81957.95982038399</v>
      </c>
      <c r="L142" s="28">
        <f t="shared" si="88"/>
        <v>12159.071257746133</v>
      </c>
    </row>
    <row r="143" spans="1:12" ht="12.75">
      <c r="A143" s="6">
        <f t="shared" si="86"/>
        <v>40391</v>
      </c>
      <c r="B143" s="19">
        <f t="shared" si="78"/>
        <v>133</v>
      </c>
      <c r="C143" s="26">
        <f t="shared" si="79"/>
        <v>729.7342947385081</v>
      </c>
      <c r="D143" s="26">
        <f t="shared" si="80"/>
        <v>191.84555385101933</v>
      </c>
      <c r="E143" s="26">
        <f t="shared" si="81"/>
        <v>537.8887408874888</v>
      </c>
      <c r="F143" s="26">
        <f t="shared" si="82"/>
        <v>29555.531471037117</v>
      </c>
      <c r="G143" s="21">
        <f t="shared" si="83"/>
        <v>57.5536661553058</v>
      </c>
      <c r="H143" s="28">
        <f>IF(F142&lt;0.5,"",IF(OR(YEAR(A143)&lt;YEAR(A144),F143&lt;0.5),SUM($G$11:G143)-SUM($H$11:H142),""))</f>
      </c>
      <c r="I143" s="30">
        <f t="shared" si="84"/>
        <v>48610.19267125871</v>
      </c>
      <c r="J143" s="30">
        <f t="shared" si="85"/>
        <v>48444.4685289629</v>
      </c>
      <c r="K143" s="31">
        <f t="shared" si="87"/>
        <v>82481.49038914962</v>
      </c>
      <c r="L143" s="28">
        <f t="shared" si="88"/>
        <v>12159.071257746133</v>
      </c>
    </row>
    <row r="144" spans="1:12" ht="12.75">
      <c r="A144" s="6">
        <f t="shared" si="86"/>
        <v>40422</v>
      </c>
      <c r="B144" s="19">
        <f t="shared" si="78"/>
        <v>134</v>
      </c>
      <c r="C144" s="26">
        <f t="shared" si="79"/>
        <v>729.7342947385081</v>
      </c>
      <c r="D144" s="26">
        <f t="shared" si="80"/>
        <v>188.4165131278616</v>
      </c>
      <c r="E144" s="26">
        <f t="shared" si="81"/>
        <v>541.3177816106465</v>
      </c>
      <c r="F144" s="26">
        <f t="shared" si="82"/>
        <v>29014.21368942647</v>
      </c>
      <c r="G144" s="21">
        <f t="shared" si="83"/>
        <v>56.52495393835848</v>
      </c>
      <c r="H144" s="28">
        <f>IF(F143&lt;0.5,"",IF(OR(YEAR(A144)&lt;YEAR(A145),F144&lt;0.5),SUM($G$11:G144)-SUM($H$11:H143),""))</f>
      </c>
      <c r="I144" s="30">
        <f t="shared" si="84"/>
        <v>48798.60918438657</v>
      </c>
      <c r="J144" s="30">
        <f t="shared" si="85"/>
        <v>48985.786310573545</v>
      </c>
      <c r="K144" s="31">
        <f t="shared" si="87"/>
        <v>83003.71539539963</v>
      </c>
      <c r="L144" s="28">
        <f t="shared" si="88"/>
        <v>12159.071257746133</v>
      </c>
    </row>
    <row r="145" spans="1:12" ht="12.75">
      <c r="A145" s="6">
        <f t="shared" si="86"/>
        <v>40452</v>
      </c>
      <c r="B145" s="19">
        <f t="shared" si="78"/>
        <v>135</v>
      </c>
      <c r="C145" s="26">
        <f t="shared" si="79"/>
        <v>729.7342947385081</v>
      </c>
      <c r="D145" s="26">
        <f t="shared" si="80"/>
        <v>184.96561227009374</v>
      </c>
      <c r="E145" s="26">
        <f t="shared" si="81"/>
        <v>544.7686824684143</v>
      </c>
      <c r="F145" s="26">
        <f t="shared" si="82"/>
        <v>28469.445006958056</v>
      </c>
      <c r="G145" s="21">
        <f t="shared" si="83"/>
        <v>55.48968368102812</v>
      </c>
      <c r="H145" s="28">
        <f>IF(F144&lt;0.5,"",IF(OR(YEAR(A145)&lt;YEAR(A146),F145&lt;0.5),SUM($G$11:G145)-SUM($H$11:H144),""))</f>
      </c>
      <c r="I145" s="30">
        <f t="shared" si="84"/>
        <v>48983.57479665666</v>
      </c>
      <c r="J145" s="30">
        <f t="shared" si="85"/>
        <v>49530.55499304196</v>
      </c>
      <c r="K145" s="31">
        <f t="shared" si="87"/>
        <v>83524.63809490089</v>
      </c>
      <c r="L145" s="28">
        <f t="shared" si="88"/>
        <v>12159.071257746133</v>
      </c>
    </row>
    <row r="146" spans="1:12" ht="12.75">
      <c r="A146" s="6">
        <f t="shared" si="86"/>
        <v>40483</v>
      </c>
      <c r="B146" s="19">
        <f t="shared" si="78"/>
        <v>136</v>
      </c>
      <c r="C146" s="26">
        <f t="shared" si="79"/>
        <v>729.7342947385081</v>
      </c>
      <c r="D146" s="26">
        <f t="shared" si="80"/>
        <v>181.4927119193576</v>
      </c>
      <c r="E146" s="26">
        <f t="shared" si="81"/>
        <v>548.2415828191505</v>
      </c>
      <c r="F146" s="26">
        <f t="shared" si="82"/>
        <v>27921.203424138905</v>
      </c>
      <c r="G146" s="21">
        <f t="shared" si="83"/>
        <v>54.447813575807274</v>
      </c>
      <c r="H146" s="28">
        <f>IF(F145&lt;0.5,"",IF(OR(YEAR(A146)&lt;YEAR(A147),F146&lt;0.5),SUM($G$11:G146)-SUM($H$11:H145),""))</f>
      </c>
      <c r="I146" s="30">
        <f t="shared" si="84"/>
        <v>49165.06750857602</v>
      </c>
      <c r="J146" s="30">
        <f t="shared" si="85"/>
        <v>50078.79657586111</v>
      </c>
      <c r="K146" s="31">
        <f t="shared" si="87"/>
        <v>84044.26173530114</v>
      </c>
      <c r="L146" s="28">
        <f t="shared" si="88"/>
        <v>12159.071257746133</v>
      </c>
    </row>
    <row r="147" spans="1:12" ht="12.75">
      <c r="A147" s="6">
        <f t="shared" si="86"/>
        <v>40513</v>
      </c>
      <c r="B147" s="19">
        <f t="shared" si="78"/>
        <v>137</v>
      </c>
      <c r="C147" s="26">
        <f t="shared" si="79"/>
        <v>729.7342947385081</v>
      </c>
      <c r="D147" s="26">
        <f t="shared" si="80"/>
        <v>177.9976718288855</v>
      </c>
      <c r="E147" s="26">
        <f t="shared" si="81"/>
        <v>551.7366229096226</v>
      </c>
      <c r="F147" s="26">
        <f t="shared" si="82"/>
        <v>27369.466801229282</v>
      </c>
      <c r="G147" s="21">
        <f t="shared" si="83"/>
        <v>53.39930154866565</v>
      </c>
      <c r="H147" s="28">
        <f>IF(F146&lt;0.5,"",IF(OR(YEAR(A147)&lt;YEAR(A148),F147&lt;0.5),SUM($G$11:G147)-SUM($H$11:H146),""))</f>
        <v>708.5528066632269</v>
      </c>
      <c r="I147" s="30">
        <f t="shared" si="84"/>
        <v>49343.06518040491</v>
      </c>
      <c r="J147" s="30">
        <f t="shared" si="85"/>
        <v>50630.53319877073</v>
      </c>
      <c r="K147" s="31">
        <f t="shared" si="87"/>
        <v>84562.58955614928</v>
      </c>
      <c r="L147" s="28">
        <f t="shared" si="88"/>
        <v>12662.35393869124</v>
      </c>
    </row>
    <row r="148" spans="1:12" ht="12.75">
      <c r="A148" s="6">
        <f t="shared" si="86"/>
        <v>40544</v>
      </c>
      <c r="B148" s="19">
        <f t="shared" si="78"/>
        <v>138</v>
      </c>
      <c r="C148" s="26">
        <f t="shared" si="79"/>
        <v>729.7342947385081</v>
      </c>
      <c r="D148" s="26">
        <f t="shared" si="80"/>
        <v>174.48035085783667</v>
      </c>
      <c r="E148" s="26">
        <f t="shared" si="81"/>
        <v>555.2539438806714</v>
      </c>
      <c r="F148" s="26">
        <f t="shared" si="82"/>
        <v>26814.21285734861</v>
      </c>
      <c r="G148" s="21">
        <f t="shared" si="83"/>
        <v>52.344105257350996</v>
      </c>
      <c r="H148" s="28">
        <f>IF(F147&lt;0.5,"",IF(OR(YEAR(A148)&lt;YEAR(A149),F148&lt;0.5),SUM($G$11:G148)-SUM($H$11:H147),""))</f>
      </c>
      <c r="I148" s="30">
        <f t="shared" si="84"/>
        <v>49517.545531262745</v>
      </c>
      <c r="J148" s="30">
        <f t="shared" si="85"/>
        <v>51185.7871426514</v>
      </c>
      <c r="K148" s="31">
        <f t="shared" si="87"/>
        <v>85079.6247889155</v>
      </c>
      <c r="L148" s="28">
        <f t="shared" si="88"/>
        <v>12662.35393869124</v>
      </c>
    </row>
    <row r="149" spans="1:12" ht="12.75">
      <c r="A149" s="6">
        <f t="shared" si="86"/>
        <v>40575</v>
      </c>
      <c r="B149" s="19">
        <f t="shared" si="78"/>
        <v>139</v>
      </c>
      <c r="C149" s="26">
        <f t="shared" si="79"/>
        <v>729.7342947385081</v>
      </c>
      <c r="D149" s="26">
        <f t="shared" si="80"/>
        <v>170.9406069655974</v>
      </c>
      <c r="E149" s="26">
        <f t="shared" si="81"/>
        <v>558.7936877729107</v>
      </c>
      <c r="F149" s="26">
        <f t="shared" si="82"/>
        <v>26255.4191695757</v>
      </c>
      <c r="G149" s="21">
        <f t="shared" si="83"/>
        <v>51.28218208967922</v>
      </c>
      <c r="H149" s="28">
        <f>IF(F148&lt;0.5,"",IF(OR(YEAR(A149)&lt;YEAR(A150),F149&lt;0.5),SUM($G$11:G149)-SUM($H$11:H148),""))</f>
      </c>
      <c r="I149" s="30">
        <f t="shared" si="84"/>
        <v>49688.48613822834</v>
      </c>
      <c r="J149" s="30">
        <f t="shared" si="85"/>
        <v>51744.58083042431</v>
      </c>
      <c r="K149" s="31">
        <f t="shared" si="87"/>
        <v>85595.37065701149</v>
      </c>
      <c r="L149" s="28">
        <f t="shared" si="88"/>
        <v>12662.35393869124</v>
      </c>
    </row>
    <row r="150" spans="1:12" ht="12.75">
      <c r="A150" s="6">
        <f t="shared" si="86"/>
        <v>40603</v>
      </c>
      <c r="B150" s="19">
        <f t="shared" si="78"/>
        <v>140</v>
      </c>
      <c r="C150" s="26">
        <f t="shared" si="79"/>
        <v>729.7342947385081</v>
      </c>
      <c r="D150" s="26">
        <f t="shared" si="80"/>
        <v>167.3782972060451</v>
      </c>
      <c r="E150" s="26">
        <f t="shared" si="81"/>
        <v>562.355997532463</v>
      </c>
      <c r="F150" s="26">
        <f t="shared" si="82"/>
        <v>25693.063172043236</v>
      </c>
      <c r="G150" s="21">
        <f t="shared" si="83"/>
        <v>50.21348916181353</v>
      </c>
      <c r="H150" s="28">
        <f>IF(F149&lt;0.5,"",IF(OR(YEAR(A150)&lt;YEAR(A151),F150&lt;0.5),SUM($G$11:G150)-SUM($H$11:H149),""))</f>
      </c>
      <c r="I150" s="30">
        <f t="shared" si="84"/>
        <v>49855.864435434385</v>
      </c>
      <c r="J150" s="30">
        <f t="shared" si="85"/>
        <v>52306.93682795677</v>
      </c>
      <c r="K150" s="31">
        <f t="shared" si="87"/>
        <v>86109.83037581047</v>
      </c>
      <c r="L150" s="28">
        <f t="shared" si="88"/>
        <v>12662.35393869124</v>
      </c>
    </row>
    <row r="151" spans="1:12" ht="12.75">
      <c r="A151" s="6">
        <f t="shared" si="86"/>
        <v>40634</v>
      </c>
      <c r="B151" s="19">
        <f t="shared" si="78"/>
        <v>141</v>
      </c>
      <c r="C151" s="26">
        <f t="shared" si="79"/>
        <v>729.7342947385081</v>
      </c>
      <c r="D151" s="26">
        <f t="shared" si="80"/>
        <v>163.7932777217756</v>
      </c>
      <c r="E151" s="26">
        <f t="shared" si="81"/>
        <v>565.9410170167325</v>
      </c>
      <c r="F151" s="26">
        <f t="shared" si="82"/>
        <v>25127.122155026504</v>
      </c>
      <c r="G151" s="21">
        <f t="shared" si="83"/>
        <v>49.13798331653268</v>
      </c>
      <c r="H151" s="28">
        <f>IF(F150&lt;0.5,"",IF(OR(YEAR(A151)&lt;YEAR(A152),F151&lt;0.5),SUM($G$11:G151)-SUM($H$11:H150),""))</f>
      </c>
      <c r="I151" s="30">
        <f t="shared" si="84"/>
        <v>50019.65771315616</v>
      </c>
      <c r="J151" s="30">
        <f t="shared" si="85"/>
        <v>52872.877844973504</v>
      </c>
      <c r="K151" s="31">
        <f t="shared" si="87"/>
        <v>86623.00715266731</v>
      </c>
      <c r="L151" s="28">
        <f t="shared" si="88"/>
        <v>12662.35393869124</v>
      </c>
    </row>
    <row r="152" spans="1:12" ht="12.75">
      <c r="A152" s="6">
        <f t="shared" si="86"/>
        <v>40664</v>
      </c>
      <c r="B152" s="19">
        <f t="shared" si="78"/>
        <v>142</v>
      </c>
      <c r="C152" s="26">
        <f t="shared" si="79"/>
        <v>729.7342947385081</v>
      </c>
      <c r="D152" s="26">
        <f t="shared" si="80"/>
        <v>160.18540373829396</v>
      </c>
      <c r="E152" s="26">
        <f t="shared" si="81"/>
        <v>569.5488910002141</v>
      </c>
      <c r="F152" s="26">
        <f t="shared" si="82"/>
        <v>24557.57326402629</v>
      </c>
      <c r="G152" s="21">
        <f t="shared" si="83"/>
        <v>48.05562112148819</v>
      </c>
      <c r="H152" s="28">
        <f>IF(F151&lt;0.5,"",IF(OR(YEAR(A152)&lt;YEAR(A153),F152&lt;0.5),SUM($G$11:G152)-SUM($H$11:H151),""))</f>
      </c>
      <c r="I152" s="30">
        <f t="shared" si="84"/>
        <v>50179.84311689445</v>
      </c>
      <c r="J152" s="30">
        <f t="shared" si="85"/>
        <v>53442.42673597372</v>
      </c>
      <c r="K152" s="31">
        <f t="shared" si="87"/>
        <v>87134.90418693848</v>
      </c>
      <c r="L152" s="28">
        <f t="shared" si="88"/>
        <v>12662.35393869124</v>
      </c>
    </row>
    <row r="153" spans="1:12" ht="12.75">
      <c r="A153" s="6">
        <f t="shared" si="86"/>
        <v>40695</v>
      </c>
      <c r="B153" s="19">
        <f t="shared" si="78"/>
        <v>143</v>
      </c>
      <c r="C153" s="26">
        <f t="shared" si="79"/>
        <v>729.7342947385081</v>
      </c>
      <c r="D153" s="26">
        <f t="shared" si="80"/>
        <v>156.5545295581676</v>
      </c>
      <c r="E153" s="26">
        <f t="shared" si="81"/>
        <v>573.1797651803405</v>
      </c>
      <c r="F153" s="26">
        <f t="shared" si="82"/>
        <v>23984.39349884595</v>
      </c>
      <c r="G153" s="21">
        <f t="shared" si="83"/>
        <v>46.966358867450275</v>
      </c>
      <c r="H153" s="28">
        <f>IF(F152&lt;0.5,"",IF(OR(YEAR(A153)&lt;YEAR(A154),F153&lt;0.5),SUM($G$11:G153)-SUM($H$11:H152),""))</f>
      </c>
      <c r="I153" s="30">
        <f t="shared" si="84"/>
        <v>50336.39764645262</v>
      </c>
      <c r="J153" s="30">
        <f t="shared" si="85"/>
        <v>54015.60650115406</v>
      </c>
      <c r="K153" s="31">
        <f t="shared" si="87"/>
        <v>87645.52467000199</v>
      </c>
      <c r="L153" s="28">
        <f t="shared" si="88"/>
        <v>12662.35393869124</v>
      </c>
    </row>
    <row r="154" spans="1:12" ht="12.75">
      <c r="A154" s="6">
        <f t="shared" si="86"/>
        <v>40725</v>
      </c>
      <c r="B154" s="19">
        <f t="shared" si="78"/>
        <v>144</v>
      </c>
      <c r="C154" s="26">
        <f t="shared" si="79"/>
        <v>729.7342947385081</v>
      </c>
      <c r="D154" s="26">
        <f t="shared" si="80"/>
        <v>152.90050855514292</v>
      </c>
      <c r="E154" s="26">
        <f t="shared" si="81"/>
        <v>576.8337861833652</v>
      </c>
      <c r="F154" s="26">
        <f t="shared" si="82"/>
        <v>23407.559712662587</v>
      </c>
      <c r="G154" s="21">
        <f t="shared" si="83"/>
        <v>45.87015256654288</v>
      </c>
      <c r="H154" s="28">
        <f>IF(F153&lt;0.5,"",IF(OR(YEAR(A154)&lt;YEAR(A155),F154&lt;0.5),SUM($G$11:G154)-SUM($H$11:H153),""))</f>
      </c>
      <c r="I154" s="30">
        <f t="shared" si="84"/>
        <v>50489.29815500776</v>
      </c>
      <c r="J154" s="30">
        <f t="shared" si="85"/>
        <v>54592.44028733743</v>
      </c>
      <c r="K154" s="31">
        <f t="shared" si="87"/>
        <v>88154.87178527731</v>
      </c>
      <c r="L154" s="28">
        <f t="shared" si="88"/>
        <v>12662.35393869124</v>
      </c>
    </row>
    <row r="155" spans="1:12" ht="12.75">
      <c r="A155" s="6">
        <f t="shared" si="86"/>
        <v>40756</v>
      </c>
      <c r="B155" s="19">
        <f t="shared" si="78"/>
        <v>145</v>
      </c>
      <c r="C155" s="26">
        <f t="shared" si="79"/>
        <v>729.7342947385081</v>
      </c>
      <c r="D155" s="26">
        <f t="shared" si="80"/>
        <v>149.223193168224</v>
      </c>
      <c r="E155" s="26">
        <f t="shared" si="81"/>
        <v>580.5111015702842</v>
      </c>
      <c r="F155" s="26">
        <f t="shared" si="82"/>
        <v>22827.0486110923</v>
      </c>
      <c r="G155" s="21">
        <f t="shared" si="83"/>
        <v>44.766957950467194</v>
      </c>
      <c r="H155" s="28">
        <f>IF(F154&lt;0.5,"",IF(OR(YEAR(A155)&lt;YEAR(A156),F155&lt;0.5),SUM($G$11:G155)-SUM($H$11:H154),""))</f>
      </c>
      <c r="I155" s="30">
        <f t="shared" si="84"/>
        <v>50638.521348175986</v>
      </c>
      <c r="J155" s="30">
        <f t="shared" si="85"/>
        <v>55172.95138890771</v>
      </c>
      <c r="K155" s="31">
        <f t="shared" si="87"/>
        <v>88662.94870824521</v>
      </c>
      <c r="L155" s="28">
        <f t="shared" si="88"/>
        <v>12662.35393869124</v>
      </c>
    </row>
    <row r="156" spans="1:12" ht="12.75">
      <c r="A156" s="6">
        <f t="shared" si="86"/>
        <v>40787</v>
      </c>
      <c r="B156" s="19">
        <f aca="true" t="shared" si="89" ref="B156:B171">B155+1</f>
        <v>146</v>
      </c>
      <c r="C156" s="26">
        <f aca="true" t="shared" si="90" ref="C156:C171">IF(F155&gt;0.5,C155,"")</f>
        <v>729.7342947385081</v>
      </c>
      <c r="D156" s="26">
        <f aca="true" t="shared" si="91" ref="D156:D171">IF(F155&gt;0.5,$I$3*F155,"")</f>
        <v>145.52243489571342</v>
      </c>
      <c r="E156" s="26">
        <f aca="true" t="shared" si="92" ref="E156:E171">IF(F155&gt;0.5,C156-D156,"")</f>
        <v>584.2118598427946</v>
      </c>
      <c r="F156" s="26">
        <f aca="true" t="shared" si="93" ref="F156:F171">IF(F155&gt;0.5,F155-E156,0)</f>
        <v>22242.836751249506</v>
      </c>
      <c r="G156" s="21">
        <f t="shared" si="83"/>
        <v>43.656730468714024</v>
      </c>
      <c r="H156" s="28">
        <f>IF(F155&lt;0.5,"",IF(OR(YEAR(A156)&lt;YEAR(A157),F156&lt;0.5),SUM($G$11:G156)-SUM($H$11:H155),""))</f>
      </c>
      <c r="I156" s="30">
        <f aca="true" t="shared" si="94" ref="I156:I171">IF(F155&gt;0.5,I155+D156,"")</f>
        <v>50784.0437830717</v>
      </c>
      <c r="J156" s="30">
        <f aca="true" t="shared" si="95" ref="J156:J171">IF(F155&gt;0.5,J155+E156,"")</f>
        <v>55757.163248750505</v>
      </c>
      <c r="K156" s="31">
        <f t="shared" si="87"/>
        <v>89169.75860646756</v>
      </c>
      <c r="L156" s="28">
        <f t="shared" si="88"/>
        <v>12662.35393869124</v>
      </c>
    </row>
    <row r="157" spans="1:12" ht="12.75">
      <c r="A157" s="6">
        <f t="shared" si="86"/>
        <v>40817</v>
      </c>
      <c r="B157" s="19">
        <f t="shared" si="89"/>
        <v>147</v>
      </c>
      <c r="C157" s="26">
        <f t="shared" si="90"/>
        <v>729.7342947385081</v>
      </c>
      <c r="D157" s="26">
        <f t="shared" si="91"/>
        <v>141.79808428921558</v>
      </c>
      <c r="E157" s="26">
        <f t="shared" si="92"/>
        <v>587.9362104492925</v>
      </c>
      <c r="F157" s="26">
        <f t="shared" si="93"/>
        <v>21654.900540800212</v>
      </c>
      <c r="G157" s="21">
        <f t="shared" si="83"/>
        <v>42.539425286764676</v>
      </c>
      <c r="H157" s="28">
        <f>IF(F156&lt;0.5,"",IF(OR(YEAR(A157)&lt;YEAR(A158),F157&lt;0.5),SUM($G$11:G157)-SUM($H$11:H156),""))</f>
      </c>
      <c r="I157" s="30">
        <f t="shared" si="94"/>
        <v>50925.84186736091</v>
      </c>
      <c r="J157" s="30">
        <f t="shared" si="95"/>
        <v>56345.099459199795</v>
      </c>
      <c r="K157" s="31">
        <f aca="true" t="shared" si="96" ref="K157:K172">IF(F156&gt;0.5,C157/(1+$I$4)^B157+K156,"")</f>
        <v>89675.30463960706</v>
      </c>
      <c r="L157" s="28">
        <f aca="true" t="shared" si="97" ref="L157:L172">IF(F156&lt;0.5,"",IF(H157="",L156,H157/(1+$I$4)^B157+L156))</f>
        <v>12662.35393869124</v>
      </c>
    </row>
    <row r="158" spans="1:12" ht="12.75">
      <c r="A158" s="6">
        <f t="shared" si="86"/>
        <v>40848</v>
      </c>
      <c r="B158" s="19">
        <f t="shared" si="89"/>
        <v>148</v>
      </c>
      <c r="C158" s="26">
        <f t="shared" si="90"/>
        <v>729.7342947385081</v>
      </c>
      <c r="D158" s="26">
        <f t="shared" si="91"/>
        <v>138.04999094760134</v>
      </c>
      <c r="E158" s="26">
        <f t="shared" si="92"/>
        <v>591.6843037909067</v>
      </c>
      <c r="F158" s="26">
        <f t="shared" si="93"/>
        <v>21063.216237009306</v>
      </c>
      <c r="G158" s="21">
        <f t="shared" si="83"/>
        <v>41.4149972842804</v>
      </c>
      <c r="H158" s="28">
        <f>IF(F157&lt;0.5,"",IF(OR(YEAR(A158)&lt;YEAR(A159),F158&lt;0.5),SUM($G$11:G158)-SUM($H$11:H157),""))</f>
      </c>
      <c r="I158" s="30">
        <f t="shared" si="94"/>
        <v>51063.89185830851</v>
      </c>
      <c r="J158" s="30">
        <f t="shared" si="95"/>
        <v>56936.7837629907</v>
      </c>
      <c r="K158" s="31">
        <f t="shared" si="96"/>
        <v>90179.58995944695</v>
      </c>
      <c r="L158" s="28">
        <f t="shared" si="97"/>
        <v>12662.35393869124</v>
      </c>
    </row>
    <row r="159" spans="1:12" ht="12.75">
      <c r="A159" s="6">
        <f t="shared" si="86"/>
        <v>40878</v>
      </c>
      <c r="B159" s="19">
        <f t="shared" si="89"/>
        <v>149</v>
      </c>
      <c r="C159" s="26">
        <f t="shared" si="90"/>
        <v>729.7342947385081</v>
      </c>
      <c r="D159" s="26">
        <f t="shared" si="91"/>
        <v>134.27800351093433</v>
      </c>
      <c r="E159" s="26">
        <f t="shared" si="92"/>
        <v>595.4562912275737</v>
      </c>
      <c r="F159" s="26">
        <f t="shared" si="93"/>
        <v>20467.759945781734</v>
      </c>
      <c r="G159" s="21">
        <f t="shared" si="83"/>
        <v>40.28340105328029</v>
      </c>
      <c r="H159" s="28">
        <f>IF(F158&lt;0.5,"",IF(OR(YEAR(A159)&lt;YEAR(A160),F159&lt;0.5),SUM($G$11:G159)-SUM($H$11:H158),""))</f>
        <v>556.5314044243642</v>
      </c>
      <c r="I159" s="30">
        <f t="shared" si="94"/>
        <v>51198.16986181944</v>
      </c>
      <c r="J159" s="30">
        <f t="shared" si="95"/>
        <v>57532.24005421827</v>
      </c>
      <c r="K159" s="31">
        <f t="shared" si="96"/>
        <v>90682.61770991069</v>
      </c>
      <c r="L159" s="28">
        <f t="shared" si="97"/>
        <v>13045.987738621567</v>
      </c>
    </row>
    <row r="160" spans="1:12" ht="12.75">
      <c r="A160" s="6">
        <f t="shared" si="86"/>
        <v>40909</v>
      </c>
      <c r="B160" s="19">
        <f t="shared" si="89"/>
        <v>150</v>
      </c>
      <c r="C160" s="26">
        <f t="shared" si="90"/>
        <v>729.7342947385081</v>
      </c>
      <c r="D160" s="26">
        <f t="shared" si="91"/>
        <v>130.48196965435855</v>
      </c>
      <c r="E160" s="26">
        <f t="shared" si="92"/>
        <v>599.2523250841496</v>
      </c>
      <c r="F160" s="26">
        <f t="shared" si="93"/>
        <v>19868.507620697586</v>
      </c>
      <c r="G160" s="21">
        <f t="shared" si="83"/>
        <v>39.14459089630756</v>
      </c>
      <c r="H160" s="28">
        <f>IF(F159&lt;0.5,"",IF(OR(YEAR(A160)&lt;YEAR(A161),F160&lt;0.5),SUM($G$11:G160)-SUM($H$11:H159),""))</f>
      </c>
      <c r="I160" s="30">
        <f t="shared" si="94"/>
        <v>51328.6518314738</v>
      </c>
      <c r="J160" s="30">
        <f t="shared" si="95"/>
        <v>58131.49237930242</v>
      </c>
      <c r="K160" s="31">
        <f t="shared" si="96"/>
        <v>91184.3910270815</v>
      </c>
      <c r="L160" s="28">
        <f t="shared" si="97"/>
        <v>13045.987738621567</v>
      </c>
    </row>
    <row r="161" spans="1:12" ht="12.75">
      <c r="A161" s="6">
        <f t="shared" si="86"/>
        <v>40940</v>
      </c>
      <c r="B161" s="19">
        <f t="shared" si="89"/>
        <v>151</v>
      </c>
      <c r="C161" s="26">
        <f t="shared" si="90"/>
        <v>729.7342947385081</v>
      </c>
      <c r="D161" s="26">
        <f t="shared" si="91"/>
        <v>126.66173608194711</v>
      </c>
      <c r="E161" s="26">
        <f t="shared" si="92"/>
        <v>603.072558656561</v>
      </c>
      <c r="F161" s="26">
        <f t="shared" si="93"/>
        <v>19265.435062041026</v>
      </c>
      <c r="G161" s="21">
        <f t="shared" si="83"/>
        <v>37.99852082458413</v>
      </c>
      <c r="H161" s="28">
        <f>IF(F160&lt;0.5,"",IF(OR(YEAR(A161)&lt;YEAR(A162),F161&lt;0.5),SUM($G$11:G161)-SUM($H$11:H160),""))</f>
      </c>
      <c r="I161" s="30">
        <f t="shared" si="94"/>
        <v>51455.31356755574</v>
      </c>
      <c r="J161" s="30">
        <f t="shared" si="95"/>
        <v>58734.56493795898</v>
      </c>
      <c r="K161" s="31">
        <f t="shared" si="96"/>
        <v>91684.91303922195</v>
      </c>
      <c r="L161" s="28">
        <f t="shared" si="97"/>
        <v>13045.987738621567</v>
      </c>
    </row>
    <row r="162" spans="1:12" ht="12.75">
      <c r="A162" s="6">
        <f t="shared" si="86"/>
        <v>40969</v>
      </c>
      <c r="B162" s="19">
        <f t="shared" si="89"/>
        <v>152</v>
      </c>
      <c r="C162" s="26">
        <f t="shared" si="90"/>
        <v>729.7342947385081</v>
      </c>
      <c r="D162" s="26">
        <f t="shared" si="91"/>
        <v>122.81714852051154</v>
      </c>
      <c r="E162" s="26">
        <f t="shared" si="92"/>
        <v>606.9171462179966</v>
      </c>
      <c r="F162" s="26">
        <f t="shared" si="93"/>
        <v>18658.51791582303</v>
      </c>
      <c r="G162" s="21">
        <f t="shared" si="83"/>
        <v>36.84514455615346</v>
      </c>
      <c r="H162" s="28">
        <f>IF(F161&lt;0.5,"",IF(OR(YEAR(A162)&lt;YEAR(A163),F162&lt;0.5),SUM($G$11:G162)-SUM($H$11:H161),""))</f>
      </c>
      <c r="I162" s="30">
        <f t="shared" si="94"/>
        <v>51578.13071607625</v>
      </c>
      <c r="J162" s="30">
        <f t="shared" si="95"/>
        <v>59341.482084176976</v>
      </c>
      <c r="K162" s="31">
        <f t="shared" si="96"/>
        <v>92184.18686679348</v>
      </c>
      <c r="L162" s="28">
        <f t="shared" si="97"/>
        <v>13045.987738621567</v>
      </c>
    </row>
    <row r="163" spans="1:12" ht="12.75">
      <c r="A163" s="6">
        <f t="shared" si="86"/>
        <v>41000</v>
      </c>
      <c r="B163" s="19">
        <f t="shared" si="89"/>
        <v>153</v>
      </c>
      <c r="C163" s="26">
        <f t="shared" si="90"/>
        <v>729.7342947385081</v>
      </c>
      <c r="D163" s="26">
        <f t="shared" si="91"/>
        <v>118.94805171337181</v>
      </c>
      <c r="E163" s="26">
        <f t="shared" si="92"/>
        <v>610.7862430251363</v>
      </c>
      <c r="F163" s="26">
        <f t="shared" si="93"/>
        <v>18047.731672797894</v>
      </c>
      <c r="G163" s="21">
        <f t="shared" si="83"/>
        <v>35.68441551401154</v>
      </c>
      <c r="H163" s="28">
        <f>IF(F162&lt;0.5,"",IF(OR(YEAR(A163)&lt;YEAR(A164),F163&lt;0.5),SUM($G$11:G163)-SUM($H$11:H162),""))</f>
      </c>
      <c r="I163" s="30">
        <f t="shared" si="94"/>
        <v>51697.07876778962</v>
      </c>
      <c r="J163" s="30">
        <f t="shared" si="95"/>
        <v>59952.26832720211</v>
      </c>
      <c r="K163" s="31">
        <f t="shared" si="96"/>
        <v>92682.2156224758</v>
      </c>
      <c r="L163" s="28">
        <f t="shared" si="97"/>
        <v>13045.987738621567</v>
      </c>
    </row>
    <row r="164" spans="1:12" ht="12.75">
      <c r="A164" s="6">
        <f t="shared" si="86"/>
        <v>41030</v>
      </c>
      <c r="B164" s="19">
        <f t="shared" si="89"/>
        <v>154</v>
      </c>
      <c r="C164" s="26">
        <f t="shared" si="90"/>
        <v>729.7342947385081</v>
      </c>
      <c r="D164" s="26">
        <f t="shared" si="91"/>
        <v>115.05428941408657</v>
      </c>
      <c r="E164" s="26">
        <f t="shared" si="92"/>
        <v>614.6800053244215</v>
      </c>
      <c r="F164" s="26">
        <f t="shared" si="93"/>
        <v>17433.05166747347</v>
      </c>
      <c r="G164" s="21">
        <f t="shared" si="83"/>
        <v>34.51628682422597</v>
      </c>
      <c r="H164" s="28">
        <f>IF(F163&lt;0.5,"",IF(OR(YEAR(A164)&lt;YEAR(A165),F164&lt;0.5),SUM($G$11:G164)-SUM($H$11:H163),""))</f>
      </c>
      <c r="I164" s="30">
        <f t="shared" si="94"/>
        <v>51812.13305720371</v>
      </c>
      <c r="J164" s="30">
        <f t="shared" si="95"/>
        <v>60566.94833252653</v>
      </c>
      <c r="K164" s="31">
        <f t="shared" si="96"/>
        <v>93179.00241118635</v>
      </c>
      <c r="L164" s="28">
        <f t="shared" si="97"/>
        <v>13045.987738621567</v>
      </c>
    </row>
    <row r="165" spans="1:12" ht="12.75">
      <c r="A165" s="6">
        <f t="shared" si="86"/>
        <v>41061</v>
      </c>
      <c r="B165" s="19">
        <f t="shared" si="89"/>
        <v>155</v>
      </c>
      <c r="C165" s="26">
        <f t="shared" si="90"/>
        <v>729.7342947385081</v>
      </c>
      <c r="D165" s="26">
        <f t="shared" si="91"/>
        <v>111.13570438014338</v>
      </c>
      <c r="E165" s="26">
        <f t="shared" si="92"/>
        <v>618.5985903583647</v>
      </c>
      <c r="F165" s="26">
        <f t="shared" si="93"/>
        <v>16814.453077115108</v>
      </c>
      <c r="G165" s="21">
        <f t="shared" si="83"/>
        <v>33.34071131404301</v>
      </c>
      <c r="H165" s="28">
        <f>IF(F164&lt;0.5,"",IF(OR(YEAR(A165)&lt;YEAR(A166),F165&lt;0.5),SUM($G$11:G165)-SUM($H$11:H164),""))</f>
      </c>
      <c r="I165" s="30">
        <f t="shared" si="94"/>
        <v>51923.26876158385</v>
      </c>
      <c r="J165" s="30">
        <f t="shared" si="95"/>
        <v>61185.546922884896</v>
      </c>
      <c r="K165" s="31">
        <f t="shared" si="96"/>
        <v>93674.5503300996</v>
      </c>
      <c r="L165" s="28">
        <f t="shared" si="97"/>
        <v>13045.987738621567</v>
      </c>
    </row>
    <row r="166" spans="1:12" ht="12.75">
      <c r="A166" s="6">
        <f t="shared" si="86"/>
        <v>41091</v>
      </c>
      <c r="B166" s="19">
        <f t="shared" si="89"/>
        <v>156</v>
      </c>
      <c r="C166" s="26">
        <f t="shared" si="90"/>
        <v>729.7342947385081</v>
      </c>
      <c r="D166" s="26">
        <f t="shared" si="91"/>
        <v>107.1921383666088</v>
      </c>
      <c r="E166" s="26">
        <f t="shared" si="92"/>
        <v>622.5421563718993</v>
      </c>
      <c r="F166" s="26">
        <f t="shared" si="93"/>
        <v>16191.910920743208</v>
      </c>
      <c r="G166" s="21">
        <f t="shared" si="83"/>
        <v>32.15764150998264</v>
      </c>
      <c r="H166" s="28">
        <f>IF(F165&lt;0.5,"",IF(OR(YEAR(A166)&lt;YEAR(A167),F166&lt;0.5),SUM($G$11:G166)-SUM($H$11:H165),""))</f>
      </c>
      <c r="I166" s="30">
        <f t="shared" si="94"/>
        <v>52030.46089995046</v>
      </c>
      <c r="J166" s="30">
        <f t="shared" si="95"/>
        <v>61808.089079256795</v>
      </c>
      <c r="K166" s="31">
        <f t="shared" si="96"/>
        <v>94168.86246866646</v>
      </c>
      <c r="L166" s="28">
        <f t="shared" si="97"/>
        <v>13045.987738621567</v>
      </c>
    </row>
    <row r="167" spans="1:12" ht="12.75">
      <c r="A167" s="6">
        <f t="shared" si="86"/>
        <v>41122</v>
      </c>
      <c r="B167" s="19">
        <f t="shared" si="89"/>
        <v>157</v>
      </c>
      <c r="C167" s="26">
        <f t="shared" si="90"/>
        <v>729.7342947385081</v>
      </c>
      <c r="D167" s="26">
        <f t="shared" si="91"/>
        <v>103.22343211973795</v>
      </c>
      <c r="E167" s="26">
        <f t="shared" si="92"/>
        <v>626.5108626187701</v>
      </c>
      <c r="F167" s="26">
        <f t="shared" si="93"/>
        <v>15565.400058124438</v>
      </c>
      <c r="G167" s="21">
        <f t="shared" si="83"/>
        <v>30.967029635921385</v>
      </c>
      <c r="H167" s="28">
        <f>IF(F166&lt;0.5,"",IF(OR(YEAR(A167)&lt;YEAR(A168),F167&lt;0.5),SUM($G$11:G167)-SUM($H$11:H166),""))</f>
      </c>
      <c r="I167" s="30">
        <f t="shared" si="94"/>
        <v>52133.6843320702</v>
      </c>
      <c r="J167" s="30">
        <f t="shared" si="95"/>
        <v>62434.59994187557</v>
      </c>
      <c r="K167" s="31">
        <f t="shared" si="96"/>
        <v>94661.94190863338</v>
      </c>
      <c r="L167" s="28">
        <f t="shared" si="97"/>
        <v>13045.987738621567</v>
      </c>
    </row>
    <row r="168" spans="1:12" ht="12.75">
      <c r="A168" s="6">
        <f t="shared" si="86"/>
        <v>41153</v>
      </c>
      <c r="B168" s="19">
        <f t="shared" si="89"/>
        <v>158</v>
      </c>
      <c r="C168" s="26">
        <f t="shared" si="90"/>
        <v>729.7342947385081</v>
      </c>
      <c r="D168" s="26">
        <f t="shared" si="91"/>
        <v>99.22942537054328</v>
      </c>
      <c r="E168" s="26">
        <f t="shared" si="92"/>
        <v>630.5048693679648</v>
      </c>
      <c r="F168" s="26">
        <f t="shared" si="93"/>
        <v>14934.895188756473</v>
      </c>
      <c r="G168" s="21">
        <f t="shared" si="83"/>
        <v>29.768827611162983</v>
      </c>
      <c r="H168" s="28">
        <f>IF(F167&lt;0.5,"",IF(OR(YEAR(A168)&lt;YEAR(A169),F168&lt;0.5),SUM($G$11:G168)-SUM($H$11:H167),""))</f>
      </c>
      <c r="I168" s="30">
        <f t="shared" si="94"/>
        <v>52232.91375744074</v>
      </c>
      <c r="J168" s="30">
        <f t="shared" si="95"/>
        <v>63065.10481124353</v>
      </c>
      <c r="K168" s="31">
        <f t="shared" si="96"/>
        <v>95153.79172406174</v>
      </c>
      <c r="L168" s="28">
        <f t="shared" si="97"/>
        <v>13045.987738621567</v>
      </c>
    </row>
    <row r="169" spans="1:12" ht="12.75">
      <c r="A169" s="6">
        <f t="shared" si="86"/>
        <v>41183</v>
      </c>
      <c r="B169" s="19">
        <f t="shared" si="89"/>
        <v>159</v>
      </c>
      <c r="C169" s="26">
        <f t="shared" si="90"/>
        <v>729.7342947385081</v>
      </c>
      <c r="D169" s="26">
        <f t="shared" si="91"/>
        <v>95.2099568283225</v>
      </c>
      <c r="E169" s="26">
        <f t="shared" si="92"/>
        <v>634.5243379101855</v>
      </c>
      <c r="F169" s="26">
        <f t="shared" si="93"/>
        <v>14300.370850846288</v>
      </c>
      <c r="G169" s="21">
        <f t="shared" si="83"/>
        <v>28.56298704849675</v>
      </c>
      <c r="H169" s="28">
        <f>IF(F168&lt;0.5,"",IF(OR(YEAR(A169)&lt;YEAR(A170),F169&lt;0.5),SUM($G$11:G169)-SUM($H$11:H168),""))</f>
      </c>
      <c r="I169" s="30">
        <f t="shared" si="94"/>
        <v>52328.123714269066</v>
      </c>
      <c r="J169" s="30">
        <f t="shared" si="95"/>
        <v>63699.62914915372</v>
      </c>
      <c r="K169" s="31">
        <f t="shared" si="96"/>
        <v>95644.41498134688</v>
      </c>
      <c r="L169" s="28">
        <f t="shared" si="97"/>
        <v>13045.987738621567</v>
      </c>
    </row>
    <row r="170" spans="1:12" ht="12.75">
      <c r="A170" s="6">
        <f t="shared" si="86"/>
        <v>41214</v>
      </c>
      <c r="B170" s="19">
        <f t="shared" si="89"/>
        <v>160</v>
      </c>
      <c r="C170" s="26">
        <f t="shared" si="90"/>
        <v>729.7342947385081</v>
      </c>
      <c r="D170" s="26">
        <f t="shared" si="91"/>
        <v>91.16486417414508</v>
      </c>
      <c r="E170" s="26">
        <f t="shared" si="92"/>
        <v>638.569430564363</v>
      </c>
      <c r="F170" s="26">
        <f t="shared" si="93"/>
        <v>13661.801420281925</v>
      </c>
      <c r="G170" s="21">
        <f t="shared" si="83"/>
        <v>27.349459252243523</v>
      </c>
      <c r="H170" s="28">
        <f>IF(F169&lt;0.5,"",IF(OR(YEAR(A170)&lt;YEAR(A171),F170&lt;0.5),SUM($G$11:G170)-SUM($H$11:H169),""))</f>
      </c>
      <c r="I170" s="30">
        <f t="shared" si="94"/>
        <v>52419.288578443215</v>
      </c>
      <c r="J170" s="30">
        <f t="shared" si="95"/>
        <v>64338.19857971808</v>
      </c>
      <c r="K170" s="31">
        <f t="shared" si="96"/>
        <v>96133.8147392373</v>
      </c>
      <c r="L170" s="28">
        <f t="shared" si="97"/>
        <v>13045.987738621567</v>
      </c>
    </row>
    <row r="171" spans="1:12" ht="12.75">
      <c r="A171" s="6">
        <f t="shared" si="86"/>
        <v>41244</v>
      </c>
      <c r="B171" s="19">
        <f t="shared" si="89"/>
        <v>161</v>
      </c>
      <c r="C171" s="26">
        <f t="shared" si="90"/>
        <v>729.7342947385081</v>
      </c>
      <c r="D171" s="26">
        <f t="shared" si="91"/>
        <v>87.09398405429727</v>
      </c>
      <c r="E171" s="26">
        <f t="shared" si="92"/>
        <v>642.6403106842108</v>
      </c>
      <c r="F171" s="26">
        <f t="shared" si="93"/>
        <v>13019.161109597713</v>
      </c>
      <c r="G171" s="21">
        <f t="shared" si="83"/>
        <v>26.12819521628918</v>
      </c>
      <c r="H171" s="28">
        <f>IF(F170&lt;0.5,"",IF(OR(YEAR(A171)&lt;YEAR(A172),F171&lt;0.5),SUM($G$11:G171)-SUM($H$11:H170),""))</f>
        <v>392.4638102034223</v>
      </c>
      <c r="I171" s="30">
        <f t="shared" si="94"/>
        <v>52506.382562497514</v>
      </c>
      <c r="J171" s="30">
        <f t="shared" si="95"/>
        <v>64980.838890402294</v>
      </c>
      <c r="K171" s="31">
        <f t="shared" si="96"/>
        <v>96621.99404885368</v>
      </c>
      <c r="L171" s="28">
        <f t="shared" si="97"/>
        <v>13308.539071751902</v>
      </c>
    </row>
    <row r="172" spans="1:12" ht="12.75">
      <c r="A172" s="6">
        <f t="shared" si="86"/>
        <v>41275</v>
      </c>
      <c r="B172" s="19">
        <f aca="true" t="shared" si="98" ref="B172:B187">B171+1</f>
        <v>162</v>
      </c>
      <c r="C172" s="26">
        <f aca="true" t="shared" si="99" ref="C172:C187">IF(F171&gt;0.5,C171,"")</f>
        <v>729.7342947385081</v>
      </c>
      <c r="D172" s="26">
        <f aca="true" t="shared" si="100" ref="D172:D187">IF(F171&gt;0.5,$I$3*F171,"")</f>
        <v>82.99715207368541</v>
      </c>
      <c r="E172" s="26">
        <f aca="true" t="shared" si="101" ref="E172:E187">IF(F171&gt;0.5,C172-D172,"")</f>
        <v>646.7371426648226</v>
      </c>
      <c r="F172" s="26">
        <f aca="true" t="shared" si="102" ref="F172:F187">IF(F171&gt;0.5,F171-E172,0)</f>
        <v>12372.42396693289</v>
      </c>
      <c r="G172" s="21">
        <f aca="true" t="shared" si="103" ref="G172:G188">IF(F171&gt;0.5,D172*$I$5,"")</f>
        <v>24.899145622105625</v>
      </c>
      <c r="H172" s="28">
        <f>IF(F171&lt;0.5,"",IF(OR(YEAR(A172)&lt;YEAR(A173),F172&lt;0.5),SUM($G$11:G172)-SUM($H$11:H171),""))</f>
      </c>
      <c r="I172" s="30">
        <f aca="true" t="shared" si="104" ref="I172:I187">IF(F171&gt;0.5,I171+D172,"")</f>
        <v>52589.3797145712</v>
      </c>
      <c r="J172" s="30">
        <f aca="true" t="shared" si="105" ref="J172:J187">IF(F171&gt;0.5,J171+E172,"")</f>
        <v>65627.57603306712</v>
      </c>
      <c r="K172" s="31">
        <f t="shared" si="96"/>
        <v>97108.95595370792</v>
      </c>
      <c r="L172" s="28">
        <f t="shared" si="97"/>
        <v>13308.539071751902</v>
      </c>
    </row>
    <row r="173" spans="1:12" ht="12.75">
      <c r="A173" s="6">
        <f t="shared" si="86"/>
        <v>41306</v>
      </c>
      <c r="B173" s="19">
        <f t="shared" si="98"/>
        <v>163</v>
      </c>
      <c r="C173" s="26">
        <f t="shared" si="99"/>
        <v>729.7342947385081</v>
      </c>
      <c r="D173" s="26">
        <f t="shared" si="100"/>
        <v>78.87420278919717</v>
      </c>
      <c r="E173" s="26">
        <f t="shared" si="101"/>
        <v>650.8600919493109</v>
      </c>
      <c r="F173" s="26">
        <f t="shared" si="102"/>
        <v>11721.56387498358</v>
      </c>
      <c r="G173" s="21">
        <f t="shared" si="103"/>
        <v>23.66226083675915</v>
      </c>
      <c r="H173" s="28">
        <f>IF(F172&lt;0.5,"",IF(OR(YEAR(A173)&lt;YEAR(A174),F173&lt;0.5),SUM($G$11:G173)-SUM($H$11:H172),""))</f>
      </c>
      <c r="I173" s="30">
        <f t="shared" si="104"/>
        <v>52668.2539173604</v>
      </c>
      <c r="J173" s="30">
        <f t="shared" si="105"/>
        <v>66278.43612501642</v>
      </c>
      <c r="K173" s="31">
        <f aca="true" t="shared" si="106" ref="K173:K188">IF(F172&gt;0.5,C173/(1+$I$4)^B173+K172,"")</f>
        <v>97594.70348972213</v>
      </c>
      <c r="L173" s="28">
        <f aca="true" t="shared" si="107" ref="L173:L188">IF(F172&lt;0.5,"",IF(H173="",L172,H173/(1+$I$4)^B173+L172))</f>
        <v>13308.539071751902</v>
      </c>
    </row>
    <row r="174" spans="1:12" ht="12.75">
      <c r="A174" s="6">
        <f t="shared" si="86"/>
        <v>41334</v>
      </c>
      <c r="B174" s="19">
        <f t="shared" si="98"/>
        <v>164</v>
      </c>
      <c r="C174" s="26">
        <f t="shared" si="99"/>
        <v>729.7342947385081</v>
      </c>
      <c r="D174" s="26">
        <f t="shared" si="100"/>
        <v>74.72496970302032</v>
      </c>
      <c r="E174" s="26">
        <f t="shared" si="101"/>
        <v>655.0093250354878</v>
      </c>
      <c r="F174" s="26">
        <f t="shared" si="102"/>
        <v>11066.554549948092</v>
      </c>
      <c r="G174" s="21">
        <f t="shared" si="103"/>
        <v>22.417490910906096</v>
      </c>
      <c r="H174" s="28">
        <f>IF(F173&lt;0.5,"",IF(OR(YEAR(A174)&lt;YEAR(A175),F174&lt;0.5),SUM($G$11:G174)-SUM($H$11:H173),""))</f>
      </c>
      <c r="I174" s="30">
        <f t="shared" si="104"/>
        <v>52742.97888706342</v>
      </c>
      <c r="J174" s="30">
        <f t="shared" si="105"/>
        <v>66933.4454500519</v>
      </c>
      <c r="K174" s="31">
        <f t="shared" si="106"/>
        <v>98079.23968524752</v>
      </c>
      <c r="L174" s="28">
        <f t="shared" si="107"/>
        <v>13308.539071751902</v>
      </c>
    </row>
    <row r="175" spans="1:12" ht="12.75">
      <c r="A175" s="6">
        <f t="shared" si="86"/>
        <v>41365</v>
      </c>
      <c r="B175" s="19">
        <f t="shared" si="98"/>
        <v>165</v>
      </c>
      <c r="C175" s="26">
        <f t="shared" si="99"/>
        <v>729.7342947385081</v>
      </c>
      <c r="D175" s="26">
        <f t="shared" si="100"/>
        <v>70.54928525591909</v>
      </c>
      <c r="E175" s="26">
        <f t="shared" si="101"/>
        <v>659.185009482589</v>
      </c>
      <c r="F175" s="26">
        <f t="shared" si="102"/>
        <v>10407.369540465503</v>
      </c>
      <c r="G175" s="21">
        <f t="shared" si="103"/>
        <v>21.164785576775724</v>
      </c>
      <c r="H175" s="28">
        <f>IF(F174&lt;0.5,"",IF(OR(YEAR(A175)&lt;YEAR(A176),F175&lt;0.5),SUM($G$11:G175)-SUM($H$11:H174),""))</f>
      </c>
      <c r="I175" s="30">
        <f t="shared" si="104"/>
        <v>52813.52817231934</v>
      </c>
      <c r="J175" s="30">
        <f t="shared" si="105"/>
        <v>67592.6304595345</v>
      </c>
      <c r="K175" s="31">
        <f t="shared" si="106"/>
        <v>98562.56756108333</v>
      </c>
      <c r="L175" s="28">
        <f t="shared" si="107"/>
        <v>13308.539071751902</v>
      </c>
    </row>
    <row r="176" spans="1:12" ht="12.75">
      <c r="A176" s="6">
        <f t="shared" si="86"/>
        <v>41395</v>
      </c>
      <c r="B176" s="19">
        <f t="shared" si="98"/>
        <v>166</v>
      </c>
      <c r="C176" s="26">
        <f t="shared" si="99"/>
        <v>729.7342947385081</v>
      </c>
      <c r="D176" s="26">
        <f t="shared" si="100"/>
        <v>66.34698082046758</v>
      </c>
      <c r="E176" s="26">
        <f t="shared" si="101"/>
        <v>663.3873139180405</v>
      </c>
      <c r="F176" s="26">
        <f t="shared" si="102"/>
        <v>9743.982226547461</v>
      </c>
      <c r="G176" s="21">
        <f t="shared" si="103"/>
        <v>19.90409424614027</v>
      </c>
      <c r="H176" s="28">
        <f>IF(F175&lt;0.5,"",IF(OR(YEAR(A176)&lt;YEAR(A177),F176&lt;0.5),SUM($G$11:G176)-SUM($H$11:H175),""))</f>
      </c>
      <c r="I176" s="30">
        <f t="shared" si="104"/>
        <v>52879.87515313981</v>
      </c>
      <c r="J176" s="30">
        <f t="shared" si="105"/>
        <v>68256.01777345254</v>
      </c>
      <c r="K176" s="31">
        <f t="shared" si="106"/>
        <v>99044.6901304956</v>
      </c>
      <c r="L176" s="28">
        <f t="shared" si="107"/>
        <v>13308.539071751902</v>
      </c>
    </row>
    <row r="177" spans="1:12" ht="12.75">
      <c r="A177" s="6">
        <f t="shared" si="86"/>
        <v>41426</v>
      </c>
      <c r="B177" s="19">
        <f t="shared" si="98"/>
        <v>167</v>
      </c>
      <c r="C177" s="26">
        <f t="shared" si="99"/>
        <v>729.7342947385081</v>
      </c>
      <c r="D177" s="26">
        <f t="shared" si="100"/>
        <v>62.11788669424006</v>
      </c>
      <c r="E177" s="26">
        <f t="shared" si="101"/>
        <v>667.616408044268</v>
      </c>
      <c r="F177" s="26">
        <f t="shared" si="102"/>
        <v>9076.365818503193</v>
      </c>
      <c r="G177" s="21">
        <f t="shared" si="103"/>
        <v>18.63536600827202</v>
      </c>
      <c r="H177" s="28">
        <f>IF(F176&lt;0.5,"",IF(OR(YEAR(A177)&lt;YEAR(A178),F177&lt;0.5),SUM($G$11:G177)-SUM($H$11:H176),""))</f>
      </c>
      <c r="I177" s="30">
        <f t="shared" si="104"/>
        <v>52941.99303983405</v>
      </c>
      <c r="J177" s="30">
        <f t="shared" si="105"/>
        <v>68923.6341814968</v>
      </c>
      <c r="K177" s="31">
        <f t="shared" si="106"/>
        <v>99525.61039923601</v>
      </c>
      <c r="L177" s="28">
        <f t="shared" si="107"/>
        <v>13308.539071751902</v>
      </c>
    </row>
    <row r="178" spans="1:12" ht="12.75">
      <c r="A178" s="6">
        <f t="shared" si="86"/>
        <v>41456</v>
      </c>
      <c r="B178" s="19">
        <f t="shared" si="98"/>
        <v>168</v>
      </c>
      <c r="C178" s="26">
        <f t="shared" si="99"/>
        <v>729.7342947385081</v>
      </c>
      <c r="D178" s="26">
        <f t="shared" si="100"/>
        <v>57.86183209295785</v>
      </c>
      <c r="E178" s="26">
        <f t="shared" si="101"/>
        <v>671.8724626455503</v>
      </c>
      <c r="F178" s="26">
        <f t="shared" si="102"/>
        <v>8404.493355857643</v>
      </c>
      <c r="G178" s="21">
        <f t="shared" si="103"/>
        <v>17.358549627887353</v>
      </c>
      <c r="H178" s="28">
        <f>IF(F177&lt;0.5,"",IF(OR(YEAR(A178)&lt;YEAR(A179),F178&lt;0.5),SUM($G$11:G178)-SUM($H$11:H177),""))</f>
      </c>
      <c r="I178" s="30">
        <f t="shared" si="104"/>
        <v>52999.85487192701</v>
      </c>
      <c r="J178" s="30">
        <f t="shared" si="105"/>
        <v>69595.50664414236</v>
      </c>
      <c r="K178" s="31">
        <f t="shared" si="106"/>
        <v>100005.33136556063</v>
      </c>
      <c r="L178" s="28">
        <f t="shared" si="107"/>
        <v>13308.539071751902</v>
      </c>
    </row>
    <row r="179" spans="1:12" ht="12.75">
      <c r="A179" s="6">
        <f t="shared" si="86"/>
        <v>41487</v>
      </c>
      <c r="B179" s="19">
        <f t="shared" si="98"/>
        <v>169</v>
      </c>
      <c r="C179" s="26">
        <f t="shared" si="99"/>
        <v>729.7342947385081</v>
      </c>
      <c r="D179" s="26">
        <f t="shared" si="100"/>
        <v>53.578645143592475</v>
      </c>
      <c r="E179" s="26">
        <f t="shared" si="101"/>
        <v>676.1556495949156</v>
      </c>
      <c r="F179" s="26">
        <f t="shared" si="102"/>
        <v>7728.337706262728</v>
      </c>
      <c r="G179" s="21">
        <f t="shared" si="103"/>
        <v>16.07359354307774</v>
      </c>
      <c r="H179" s="28">
        <f>IF(F178&lt;0.5,"",IF(OR(YEAR(A179)&lt;YEAR(A180),F179&lt;0.5),SUM($G$11:G179)-SUM($H$11:H178),""))</f>
      </c>
      <c r="I179" s="30">
        <f t="shared" si="104"/>
        <v>53053.4335170706</v>
      </c>
      <c r="J179" s="30">
        <f t="shared" si="105"/>
        <v>70271.66229373727</v>
      </c>
      <c r="K179" s="31">
        <f t="shared" si="106"/>
        <v>100483.85602024852</v>
      </c>
      <c r="L179" s="28">
        <f t="shared" si="107"/>
        <v>13308.539071751902</v>
      </c>
    </row>
    <row r="180" spans="1:12" ht="12.75">
      <c r="A180" s="6">
        <f t="shared" si="86"/>
        <v>41518</v>
      </c>
      <c r="B180" s="19">
        <f t="shared" si="98"/>
        <v>170</v>
      </c>
      <c r="C180" s="26">
        <f t="shared" si="99"/>
        <v>729.7342947385081</v>
      </c>
      <c r="D180" s="26">
        <f t="shared" si="100"/>
        <v>49.26815287742489</v>
      </c>
      <c r="E180" s="26">
        <f t="shared" si="101"/>
        <v>680.4661418610832</v>
      </c>
      <c r="F180" s="26">
        <f t="shared" si="102"/>
        <v>7047.871564401645</v>
      </c>
      <c r="G180" s="21">
        <f t="shared" si="103"/>
        <v>14.780445863227467</v>
      </c>
      <c r="H180" s="28">
        <f>IF(F179&lt;0.5,"",IF(OR(YEAR(A180)&lt;YEAR(A181),F180&lt;0.5),SUM($G$11:G180)-SUM($H$11:H179),""))</f>
      </c>
      <c r="I180" s="30">
        <f t="shared" si="104"/>
        <v>53102.70166994803</v>
      </c>
      <c r="J180" s="30">
        <f t="shared" si="105"/>
        <v>70952.12843559835</v>
      </c>
      <c r="K180" s="31">
        <f t="shared" si="106"/>
        <v>100961.18734662049</v>
      </c>
      <c r="L180" s="28">
        <f t="shared" si="107"/>
        <v>13308.539071751902</v>
      </c>
    </row>
    <row r="181" spans="1:12" ht="12.75">
      <c r="A181" s="6">
        <f t="shared" si="86"/>
        <v>41548</v>
      </c>
      <c r="B181" s="19">
        <f t="shared" si="98"/>
        <v>171</v>
      </c>
      <c r="C181" s="26">
        <f t="shared" si="99"/>
        <v>729.7342947385081</v>
      </c>
      <c r="D181" s="26">
        <f t="shared" si="100"/>
        <v>44.93018122306048</v>
      </c>
      <c r="E181" s="26">
        <f t="shared" si="101"/>
        <v>684.8041135154476</v>
      </c>
      <c r="F181" s="26">
        <f t="shared" si="102"/>
        <v>6363.067450886198</v>
      </c>
      <c r="G181" s="21">
        <f t="shared" si="103"/>
        <v>13.479054366918144</v>
      </c>
      <c r="H181" s="28">
        <f>IF(F180&lt;0.5,"",IF(OR(YEAR(A181)&lt;YEAR(A182),F181&lt;0.5),SUM($G$11:G181)-SUM($H$11:H180),""))</f>
      </c>
      <c r="I181" s="30">
        <f t="shared" si="104"/>
        <v>53147.63185117109</v>
      </c>
      <c r="J181" s="30">
        <f t="shared" si="105"/>
        <v>71636.9325491138</v>
      </c>
      <c r="K181" s="31">
        <f t="shared" si="106"/>
        <v>101437.3283205576</v>
      </c>
      <c r="L181" s="28">
        <f t="shared" si="107"/>
        <v>13308.539071751902</v>
      </c>
    </row>
    <row r="182" spans="1:12" ht="12.75">
      <c r="A182" s="6">
        <f t="shared" si="86"/>
        <v>41579</v>
      </c>
      <c r="B182" s="19">
        <f t="shared" si="98"/>
        <v>172</v>
      </c>
      <c r="C182" s="26">
        <f t="shared" si="99"/>
        <v>729.7342947385081</v>
      </c>
      <c r="D182" s="26">
        <f t="shared" si="100"/>
        <v>40.564554999399505</v>
      </c>
      <c r="E182" s="26">
        <f t="shared" si="101"/>
        <v>689.1697397391085</v>
      </c>
      <c r="F182" s="26">
        <f t="shared" si="102"/>
        <v>5673.897711147089</v>
      </c>
      <c r="G182" s="21">
        <f t="shared" si="103"/>
        <v>12.169366499819851</v>
      </c>
      <c r="H182" s="28">
        <f>IF(F181&lt;0.5,"",IF(OR(YEAR(A182)&lt;YEAR(A183),F182&lt;0.5),SUM($G$11:G182)-SUM($H$11:H181),""))</f>
      </c>
      <c r="I182" s="30">
        <f t="shared" si="104"/>
        <v>53188.19640617049</v>
      </c>
      <c r="J182" s="30">
        <f t="shared" si="105"/>
        <v>72326.10228885291</v>
      </c>
      <c r="K182" s="31">
        <f t="shared" si="106"/>
        <v>101912.28191051981</v>
      </c>
      <c r="L182" s="28">
        <f t="shared" si="107"/>
        <v>13308.539071751902</v>
      </c>
    </row>
    <row r="183" spans="1:12" ht="12.75">
      <c r="A183" s="6">
        <f t="shared" si="86"/>
        <v>41609</v>
      </c>
      <c r="B183" s="19">
        <f t="shared" si="98"/>
        <v>173</v>
      </c>
      <c r="C183" s="26">
        <f t="shared" si="99"/>
        <v>729.7342947385081</v>
      </c>
      <c r="D183" s="26">
        <f t="shared" si="100"/>
        <v>36.171097908562686</v>
      </c>
      <c r="E183" s="26">
        <f t="shared" si="101"/>
        <v>693.5631968299454</v>
      </c>
      <c r="F183" s="26">
        <f t="shared" si="102"/>
        <v>4980.334514317143</v>
      </c>
      <c r="G183" s="21">
        <f t="shared" si="103"/>
        <v>10.851329372568806</v>
      </c>
      <c r="H183" s="28">
        <f>IF(F182&lt;0.5,"",IF(OR(YEAR(A183)&lt;YEAR(A184),F183&lt;0.5),SUM($G$11:G183)-SUM($H$11:H182),""))</f>
        <v>215.39548247445782</v>
      </c>
      <c r="I183" s="30">
        <f t="shared" si="104"/>
        <v>53224.367504079055</v>
      </c>
      <c r="J183" s="30">
        <f t="shared" si="105"/>
        <v>73019.66548568285</v>
      </c>
      <c r="K183" s="31">
        <f t="shared" si="106"/>
        <v>102386.05107756442</v>
      </c>
      <c r="L183" s="28">
        <f t="shared" si="107"/>
        <v>13448.381393885962</v>
      </c>
    </row>
    <row r="184" spans="1:12" ht="12.75">
      <c r="A184" s="6">
        <f t="shared" si="86"/>
        <v>41640</v>
      </c>
      <c r="B184" s="19">
        <f t="shared" si="98"/>
        <v>174</v>
      </c>
      <c r="C184" s="26">
        <f t="shared" si="99"/>
        <v>729.7342947385081</v>
      </c>
      <c r="D184" s="26">
        <f t="shared" si="100"/>
        <v>31.749632528771784</v>
      </c>
      <c r="E184" s="26">
        <f t="shared" si="101"/>
        <v>697.9846622097363</v>
      </c>
      <c r="F184" s="26">
        <f t="shared" si="102"/>
        <v>4282.349852107406</v>
      </c>
      <c r="G184" s="21">
        <f t="shared" si="103"/>
        <v>9.524889758631534</v>
      </c>
      <c r="H184" s="28">
        <f>IF(F183&lt;0.5,"",IF(OR(YEAR(A184)&lt;YEAR(A185),F184&lt;0.5),SUM($G$11:G184)-SUM($H$11:H183),""))</f>
      </c>
      <c r="I184" s="30">
        <f t="shared" si="104"/>
        <v>53256.11713660783</v>
      </c>
      <c r="J184" s="30">
        <f t="shared" si="105"/>
        <v>73717.6501478926</v>
      </c>
      <c r="K184" s="31">
        <f t="shared" si="106"/>
        <v>102858.63877536452</v>
      </c>
      <c r="L184" s="28">
        <f t="shared" si="107"/>
        <v>13448.381393885962</v>
      </c>
    </row>
    <row r="185" spans="1:12" ht="12.75">
      <c r="A185" s="6">
        <f t="shared" si="86"/>
        <v>41671</v>
      </c>
      <c r="B185" s="19">
        <f t="shared" si="98"/>
        <v>175</v>
      </c>
      <c r="C185" s="26">
        <f t="shared" si="99"/>
        <v>729.7342947385081</v>
      </c>
      <c r="D185" s="26">
        <f t="shared" si="100"/>
        <v>27.29998030718471</v>
      </c>
      <c r="E185" s="26">
        <f t="shared" si="101"/>
        <v>702.4343144313234</v>
      </c>
      <c r="F185" s="26">
        <f t="shared" si="102"/>
        <v>3579.9155376760827</v>
      </c>
      <c r="G185" s="21">
        <f t="shared" si="103"/>
        <v>8.189994092155413</v>
      </c>
      <c r="H185" s="28">
        <f>IF(F184&lt;0.5,"",IF(OR(YEAR(A185)&lt;YEAR(A186),F185&lt;0.5),SUM($G$11:G185)-SUM($H$11:H184),""))</f>
      </c>
      <c r="I185" s="30">
        <f t="shared" si="104"/>
        <v>53283.417116915014</v>
      </c>
      <c r="J185" s="30">
        <f t="shared" si="105"/>
        <v>74420.08446232391</v>
      </c>
      <c r="K185" s="31">
        <f t="shared" si="106"/>
        <v>103330.04795022747</v>
      </c>
      <c r="L185" s="28">
        <f t="shared" si="107"/>
        <v>13448.381393885962</v>
      </c>
    </row>
    <row r="186" spans="1:12" ht="12.75">
      <c r="A186" s="6">
        <f t="shared" si="86"/>
        <v>41699</v>
      </c>
      <c r="B186" s="19">
        <f t="shared" si="98"/>
        <v>176</v>
      </c>
      <c r="C186" s="26">
        <f t="shared" si="99"/>
        <v>729.7342947385081</v>
      </c>
      <c r="D186" s="26">
        <f t="shared" si="100"/>
        <v>22.821961552685025</v>
      </c>
      <c r="E186" s="26">
        <f t="shared" si="101"/>
        <v>706.9123331858231</v>
      </c>
      <c r="F186" s="26">
        <f t="shared" si="102"/>
        <v>2873.0032044902596</v>
      </c>
      <c r="G186" s="21">
        <f t="shared" si="103"/>
        <v>6.846588465805508</v>
      </c>
      <c r="H186" s="28">
        <f>IF(F185&lt;0.5,"",IF(OR(YEAR(A186)&lt;YEAR(A187),F186&lt;0.5),SUM($G$11:G186)-SUM($H$11:H185),""))</f>
      </c>
      <c r="I186" s="30">
        <f t="shared" si="104"/>
        <v>53306.2390784677</v>
      </c>
      <c r="J186" s="30">
        <f t="shared" si="105"/>
        <v>75126.99679550974</v>
      </c>
      <c r="K186" s="31">
        <f t="shared" si="106"/>
        <v>103800.2815411132</v>
      </c>
      <c r="L186" s="28">
        <f t="shared" si="107"/>
        <v>13448.381393885962</v>
      </c>
    </row>
    <row r="187" spans="1:12" ht="12.75">
      <c r="A187" s="6">
        <f t="shared" si="86"/>
        <v>41730</v>
      </c>
      <c r="B187" s="19">
        <f t="shared" si="98"/>
        <v>177</v>
      </c>
      <c r="C187" s="26">
        <f t="shared" si="99"/>
        <v>729.7342947385081</v>
      </c>
      <c r="D187" s="26">
        <f t="shared" si="100"/>
        <v>18.315395428625404</v>
      </c>
      <c r="E187" s="26">
        <f t="shared" si="101"/>
        <v>711.4188993098827</v>
      </c>
      <c r="F187" s="26">
        <f t="shared" si="102"/>
        <v>2161.5843051803768</v>
      </c>
      <c r="G187" s="21">
        <f t="shared" si="103"/>
        <v>5.494618628587621</v>
      </c>
      <c r="H187" s="28">
        <f>IF(F186&lt;0.5,"",IF(OR(YEAR(A187)&lt;YEAR(A188),F187&lt;0.5),SUM($G$11:G187)-SUM($H$11:H186),""))</f>
      </c>
      <c r="I187" s="30">
        <f t="shared" si="104"/>
        <v>53324.55447389632</v>
      </c>
      <c r="J187" s="30">
        <f t="shared" si="105"/>
        <v>75838.41569481962</v>
      </c>
      <c r="K187" s="31">
        <f t="shared" si="106"/>
        <v>104269.34247965258</v>
      </c>
      <c r="L187" s="28">
        <f t="shared" si="107"/>
        <v>13448.381393885962</v>
      </c>
    </row>
    <row r="188" spans="1:12" ht="12.75">
      <c r="A188" s="6">
        <f t="shared" si="86"/>
        <v>41760</v>
      </c>
      <c r="B188" s="19">
        <f>B187+1</f>
        <v>178</v>
      </c>
      <c r="C188" s="26">
        <f>IF(F187&gt;0.5,C187,"")</f>
        <v>729.7342947385081</v>
      </c>
      <c r="D188" s="26">
        <f>IF(F187&gt;0.5,$I$3*F187,"")</f>
        <v>13.780099945524901</v>
      </c>
      <c r="E188" s="26">
        <f>IF(F187&gt;0.5,C188-D188,"")</f>
        <v>715.9541947929832</v>
      </c>
      <c r="F188" s="26">
        <f>IF(F187&gt;0.5,F187-E188,0)</f>
        <v>1445.6301103873934</v>
      </c>
      <c r="G188" s="21">
        <f t="shared" si="103"/>
        <v>4.13402998365747</v>
      </c>
      <c r="H188" s="28">
        <f>IF(F187&lt;0.5,"",IF(OR(YEAR(A188)&lt;YEAR(A189),F188&lt;0.5),SUM($G$11:G188)-SUM($H$11:H187),""))</f>
      </c>
      <c r="I188" s="30">
        <f>IF(F187&gt;0.5,I187+D188,"")</f>
        <v>53338.33457384185</v>
      </c>
      <c r="J188" s="30">
        <f>IF(F187&gt;0.5,J187+E188,"")</f>
        <v>76554.3698896126</v>
      </c>
      <c r="K188" s="31">
        <f t="shared" si="106"/>
        <v>104737.23369016568</v>
      </c>
      <c r="L188" s="28">
        <f t="shared" si="107"/>
        <v>13448.381393885962</v>
      </c>
    </row>
    <row r="189" spans="1:12" ht="12.75">
      <c r="A189" s="6">
        <f t="shared" si="86"/>
        <v>41791</v>
      </c>
      <c r="B189" s="19">
        <f aca="true" t="shared" si="108" ref="B189:B252">B188+1</f>
        <v>179</v>
      </c>
      <c r="C189" s="26">
        <f aca="true" t="shared" si="109" ref="C189:C252">IF(F188&gt;0.5,C188,"")</f>
        <v>729.7342947385081</v>
      </c>
      <c r="D189" s="26">
        <f aca="true" t="shared" si="110" ref="D189:D252">IF(F188&gt;0.5,$I$3*F188,"")</f>
        <v>9.215891953719632</v>
      </c>
      <c r="E189" s="26">
        <f aca="true" t="shared" si="111" ref="E189:E252">IF(F188&gt;0.5,C189-D189,"")</f>
        <v>720.5184027847885</v>
      </c>
      <c r="F189" s="26">
        <f aca="true" t="shared" si="112" ref="F189:F252">IF(F188&gt;0.5,F188-E189,0)</f>
        <v>725.111707602605</v>
      </c>
      <c r="G189" s="21">
        <f aca="true" t="shared" si="113" ref="G189:G252">IF(F188&gt;0.5,D189*$I$5,"")</f>
        <v>2.7647675861158896</v>
      </c>
      <c r="H189" s="28">
        <f>IF(F188&lt;0.5,"",IF(OR(YEAR(A189)&lt;YEAR(A190),F189&lt;0.5),SUM($G$11:G189)-SUM($H$11:H188),""))</f>
      </c>
      <c r="I189" s="30">
        <f aca="true" t="shared" si="114" ref="I189:I252">IF(F188&gt;0.5,I188+D189,"")</f>
        <v>53347.55046579557</v>
      </c>
      <c r="J189" s="30">
        <f aca="true" t="shared" si="115" ref="J189:J252">IF(F188&gt;0.5,J188+E189,"")</f>
        <v>77274.88829239739</v>
      </c>
      <c r="K189" s="31">
        <f aca="true" t="shared" si="116" ref="K189:K252">IF(F188&gt;0.5,C189/(1+$I$4)^B189+K188,"")</f>
        <v>105203.95808967999</v>
      </c>
      <c r="L189" s="28">
        <f aca="true" t="shared" si="117" ref="L189:L252">IF(F188&lt;0.5,"",IF(H189="",L188,H189/(1+$I$4)^B189+L188))</f>
        <v>13448.381393885962</v>
      </c>
    </row>
    <row r="190" spans="1:12" ht="12.75">
      <c r="A190" s="6">
        <f t="shared" si="86"/>
        <v>41821</v>
      </c>
      <c r="B190" s="19">
        <f t="shared" si="108"/>
        <v>180</v>
      </c>
      <c r="C190" s="26">
        <f t="shared" si="109"/>
        <v>729.7342947385081</v>
      </c>
      <c r="D190" s="26">
        <f t="shared" si="110"/>
        <v>4.622587135966606</v>
      </c>
      <c r="E190" s="26">
        <f t="shared" si="111"/>
        <v>725.1117076025415</v>
      </c>
      <c r="F190" s="26">
        <f t="shared" si="112"/>
        <v>6.343725544866174E-11</v>
      </c>
      <c r="G190" s="21">
        <f t="shared" si="113"/>
        <v>1.386776140789982</v>
      </c>
      <c r="H190" s="28">
        <f>IF(F189&lt;0.5,"",IF(OR(YEAR(A190)&lt;YEAR(A191),F190&lt;0.5),SUM($G$11:G190)-SUM($H$11:H189),""))</f>
        <v>38.341664655741624</v>
      </c>
      <c r="I190" s="30">
        <f t="shared" si="114"/>
        <v>53352.17305293153</v>
      </c>
      <c r="J190" s="30">
        <f t="shared" si="115"/>
        <v>77999.99999999993</v>
      </c>
      <c r="K190" s="31">
        <f t="shared" si="116"/>
        <v>105669.51858794862</v>
      </c>
      <c r="L190" s="28">
        <f t="shared" si="117"/>
        <v>13472.842851474403</v>
      </c>
    </row>
    <row r="191" spans="1:12" ht="12.75">
      <c r="A191" s="6">
        <f t="shared" si="86"/>
        <v>41852</v>
      </c>
      <c r="B191" s="19">
        <f t="shared" si="108"/>
        <v>181</v>
      </c>
      <c r="C191" s="26">
        <f t="shared" si="109"/>
      </c>
      <c r="D191" s="26">
        <f t="shared" si="110"/>
      </c>
      <c r="E191" s="26">
        <f t="shared" si="111"/>
      </c>
      <c r="F191" s="26">
        <f t="shared" si="112"/>
        <v>0</v>
      </c>
      <c r="G191" s="21">
        <f t="shared" si="113"/>
      </c>
      <c r="H191" s="28">
        <f>IF(F190&lt;0.5,"",IF(OR(YEAR(A191)&lt;YEAR(A192),F191&lt;0.5),SUM($G$11:G191)-SUM($H$11:H190),""))</f>
      </c>
      <c r="I191" s="30">
        <f t="shared" si="114"/>
      </c>
      <c r="J191" s="30">
        <f t="shared" si="115"/>
      </c>
      <c r="K191" s="31">
        <f t="shared" si="116"/>
      </c>
      <c r="L191" s="28">
        <f t="shared" si="117"/>
      </c>
    </row>
    <row r="192" spans="1:12" ht="12.75">
      <c r="A192" s="6">
        <f t="shared" si="86"/>
        <v>41883</v>
      </c>
      <c r="B192" s="19">
        <f t="shared" si="108"/>
        <v>182</v>
      </c>
      <c r="C192" s="26">
        <f t="shared" si="109"/>
      </c>
      <c r="D192" s="26">
        <f t="shared" si="110"/>
      </c>
      <c r="E192" s="26">
        <f t="shared" si="111"/>
      </c>
      <c r="F192" s="26">
        <f t="shared" si="112"/>
        <v>0</v>
      </c>
      <c r="G192" s="21">
        <f t="shared" si="113"/>
      </c>
      <c r="H192" s="28">
        <f>IF(F191&lt;0.5,"",IF(OR(YEAR(A192)&lt;YEAR(A193),F192&lt;0.5),SUM($G$11:G192)-SUM($H$11:H191),""))</f>
      </c>
      <c r="I192" s="30">
        <f t="shared" si="114"/>
      </c>
      <c r="J192" s="30">
        <f t="shared" si="115"/>
      </c>
      <c r="K192" s="31">
        <f t="shared" si="116"/>
      </c>
      <c r="L192" s="28">
        <f t="shared" si="117"/>
      </c>
    </row>
    <row r="193" spans="1:12" ht="12.75">
      <c r="A193" s="6">
        <f t="shared" si="86"/>
        <v>41913</v>
      </c>
      <c r="B193" s="19">
        <f t="shared" si="108"/>
        <v>183</v>
      </c>
      <c r="C193" s="26">
        <f t="shared" si="109"/>
      </c>
      <c r="D193" s="26">
        <f t="shared" si="110"/>
      </c>
      <c r="E193" s="26">
        <f t="shared" si="111"/>
      </c>
      <c r="F193" s="26">
        <f t="shared" si="112"/>
        <v>0</v>
      </c>
      <c r="G193" s="21">
        <f t="shared" si="113"/>
      </c>
      <c r="H193" s="28">
        <f>IF(F192&lt;0.5,"",IF(OR(YEAR(A193)&lt;YEAR(A194),F193&lt;0.5),SUM($G$11:G193)-SUM($H$11:H192),""))</f>
      </c>
      <c r="I193" s="30">
        <f t="shared" si="114"/>
      </c>
      <c r="J193" s="30">
        <f t="shared" si="115"/>
      </c>
      <c r="K193" s="31">
        <f t="shared" si="116"/>
      </c>
      <c r="L193" s="28">
        <f t="shared" si="117"/>
      </c>
    </row>
    <row r="194" spans="1:12" ht="12.75">
      <c r="A194" s="6">
        <f t="shared" si="86"/>
        <v>41944</v>
      </c>
      <c r="B194" s="19">
        <f t="shared" si="108"/>
        <v>184</v>
      </c>
      <c r="C194" s="26">
        <f t="shared" si="109"/>
      </c>
      <c r="D194" s="26">
        <f t="shared" si="110"/>
      </c>
      <c r="E194" s="26">
        <f t="shared" si="111"/>
      </c>
      <c r="F194" s="26">
        <f t="shared" si="112"/>
        <v>0</v>
      </c>
      <c r="G194" s="21">
        <f t="shared" si="113"/>
      </c>
      <c r="H194" s="28">
        <f>IF(F193&lt;0.5,"",IF(OR(YEAR(A194)&lt;YEAR(A195),F194&lt;0.5),SUM($G$11:G194)-SUM($H$11:H193),""))</f>
      </c>
      <c r="I194" s="30">
        <f t="shared" si="114"/>
      </c>
      <c r="J194" s="30">
        <f t="shared" si="115"/>
      </c>
      <c r="K194" s="31">
        <f t="shared" si="116"/>
      </c>
      <c r="L194" s="28">
        <f t="shared" si="117"/>
      </c>
    </row>
    <row r="195" spans="1:12" ht="12.75">
      <c r="A195" s="6">
        <f t="shared" si="86"/>
        <v>41974</v>
      </c>
      <c r="B195" s="19">
        <f t="shared" si="108"/>
        <v>185</v>
      </c>
      <c r="C195" s="26">
        <f t="shared" si="109"/>
      </c>
      <c r="D195" s="26">
        <f t="shared" si="110"/>
      </c>
      <c r="E195" s="26">
        <f t="shared" si="111"/>
      </c>
      <c r="F195" s="26">
        <f t="shared" si="112"/>
        <v>0</v>
      </c>
      <c r="G195" s="21">
        <f t="shared" si="113"/>
      </c>
      <c r="H195" s="28">
        <f>IF(F194&lt;0.5,"",IF(OR(YEAR(A195)&lt;YEAR(A196),F195&lt;0.5),SUM($G$11:G195)-SUM($H$11:H194),""))</f>
      </c>
      <c r="I195" s="30">
        <f t="shared" si="114"/>
      </c>
      <c r="J195" s="30">
        <f t="shared" si="115"/>
      </c>
      <c r="K195" s="31">
        <f t="shared" si="116"/>
      </c>
      <c r="L195" s="28">
        <f t="shared" si="117"/>
      </c>
    </row>
    <row r="196" spans="1:12" ht="12.75">
      <c r="A196" s="6">
        <f t="shared" si="86"/>
        <v>42005</v>
      </c>
      <c r="B196" s="19">
        <f t="shared" si="108"/>
        <v>186</v>
      </c>
      <c r="C196" s="26">
        <f t="shared" si="109"/>
      </c>
      <c r="D196" s="26">
        <f t="shared" si="110"/>
      </c>
      <c r="E196" s="26">
        <f t="shared" si="111"/>
      </c>
      <c r="F196" s="26">
        <f t="shared" si="112"/>
        <v>0</v>
      </c>
      <c r="G196" s="21">
        <f t="shared" si="113"/>
      </c>
      <c r="H196" s="28">
        <f>IF(F195&lt;0.5,"",IF(OR(YEAR(A196)&lt;YEAR(A197),F196&lt;0.5),SUM($G$11:G196)-SUM($H$11:H195),""))</f>
      </c>
      <c r="I196" s="30">
        <f t="shared" si="114"/>
      </c>
      <c r="J196" s="30">
        <f t="shared" si="115"/>
      </c>
      <c r="K196" s="31">
        <f t="shared" si="116"/>
      </c>
      <c r="L196" s="28">
        <f t="shared" si="117"/>
      </c>
    </row>
    <row r="197" spans="1:12" ht="12.75">
      <c r="A197" s="6">
        <f t="shared" si="86"/>
        <v>42036</v>
      </c>
      <c r="B197" s="19">
        <f t="shared" si="108"/>
        <v>187</v>
      </c>
      <c r="C197" s="26">
        <f t="shared" si="109"/>
      </c>
      <c r="D197" s="26">
        <f t="shared" si="110"/>
      </c>
      <c r="E197" s="26">
        <f t="shared" si="111"/>
      </c>
      <c r="F197" s="26">
        <f t="shared" si="112"/>
        <v>0</v>
      </c>
      <c r="G197" s="21">
        <f t="shared" si="113"/>
      </c>
      <c r="H197" s="28">
        <f>IF(F196&lt;0.5,"",IF(OR(YEAR(A197)&lt;YEAR(A198),F197&lt;0.5),SUM($G$11:G197)-SUM($H$11:H196),""))</f>
      </c>
      <c r="I197" s="30">
        <f t="shared" si="114"/>
      </c>
      <c r="J197" s="30">
        <f t="shared" si="115"/>
      </c>
      <c r="K197" s="31">
        <f t="shared" si="116"/>
      </c>
      <c r="L197" s="28">
        <f t="shared" si="117"/>
      </c>
    </row>
    <row r="198" spans="1:12" ht="12.75">
      <c r="A198" s="6">
        <f t="shared" si="86"/>
        <v>42064</v>
      </c>
      <c r="B198" s="19">
        <f t="shared" si="108"/>
        <v>188</v>
      </c>
      <c r="C198" s="26">
        <f t="shared" si="109"/>
      </c>
      <c r="D198" s="26">
        <f t="shared" si="110"/>
      </c>
      <c r="E198" s="26">
        <f t="shared" si="111"/>
      </c>
      <c r="F198" s="26">
        <f t="shared" si="112"/>
        <v>0</v>
      </c>
      <c r="G198" s="21">
        <f t="shared" si="113"/>
      </c>
      <c r="H198" s="28">
        <f>IF(F197&lt;0.5,"",IF(OR(YEAR(A198)&lt;YEAR(A199),F198&lt;0.5),SUM($G$11:G198)-SUM($H$11:H197),""))</f>
      </c>
      <c r="I198" s="30">
        <f t="shared" si="114"/>
      </c>
      <c r="J198" s="30">
        <f t="shared" si="115"/>
      </c>
      <c r="K198" s="31">
        <f t="shared" si="116"/>
      </c>
      <c r="L198" s="28">
        <f t="shared" si="117"/>
      </c>
    </row>
    <row r="199" spans="1:12" ht="12.75">
      <c r="A199" s="6">
        <f t="shared" si="86"/>
        <v>42095</v>
      </c>
      <c r="B199" s="19">
        <f t="shared" si="108"/>
        <v>189</v>
      </c>
      <c r="C199" s="26">
        <f t="shared" si="109"/>
      </c>
      <c r="D199" s="26">
        <f t="shared" si="110"/>
      </c>
      <c r="E199" s="26">
        <f t="shared" si="111"/>
      </c>
      <c r="F199" s="26">
        <f t="shared" si="112"/>
        <v>0</v>
      </c>
      <c r="G199" s="21">
        <f t="shared" si="113"/>
      </c>
      <c r="H199" s="28">
        <f>IF(F198&lt;0.5,"",IF(OR(YEAR(A199)&lt;YEAR(A200),F199&lt;0.5),SUM($G$11:G199)-SUM($H$11:H198),""))</f>
      </c>
      <c r="I199" s="30">
        <f t="shared" si="114"/>
      </c>
      <c r="J199" s="30">
        <f t="shared" si="115"/>
      </c>
      <c r="K199" s="31">
        <f t="shared" si="116"/>
      </c>
      <c r="L199" s="28">
        <f t="shared" si="117"/>
      </c>
    </row>
    <row r="200" spans="1:12" ht="12.75">
      <c r="A200" s="6">
        <f t="shared" si="86"/>
        <v>42125</v>
      </c>
      <c r="B200" s="19">
        <f t="shared" si="108"/>
        <v>190</v>
      </c>
      <c r="C200" s="26">
        <f t="shared" si="109"/>
      </c>
      <c r="D200" s="26">
        <f t="shared" si="110"/>
      </c>
      <c r="E200" s="26">
        <f t="shared" si="111"/>
      </c>
      <c r="F200" s="26">
        <f t="shared" si="112"/>
        <v>0</v>
      </c>
      <c r="G200" s="21">
        <f t="shared" si="113"/>
      </c>
      <c r="H200" s="28">
        <f>IF(F199&lt;0.5,"",IF(OR(YEAR(A200)&lt;YEAR(A201),F200&lt;0.5),SUM($G$11:G200)-SUM($H$11:H199),""))</f>
      </c>
      <c r="I200" s="30">
        <f t="shared" si="114"/>
      </c>
      <c r="J200" s="30">
        <f t="shared" si="115"/>
      </c>
      <c r="K200" s="31">
        <f t="shared" si="116"/>
      </c>
      <c r="L200" s="28">
        <f t="shared" si="117"/>
      </c>
    </row>
    <row r="201" spans="1:12" ht="12.75">
      <c r="A201" s="6">
        <f t="shared" si="86"/>
        <v>42156</v>
      </c>
      <c r="B201" s="19">
        <f t="shared" si="108"/>
        <v>191</v>
      </c>
      <c r="C201" s="26">
        <f t="shared" si="109"/>
      </c>
      <c r="D201" s="26">
        <f t="shared" si="110"/>
      </c>
      <c r="E201" s="26">
        <f t="shared" si="111"/>
      </c>
      <c r="F201" s="26">
        <f t="shared" si="112"/>
        <v>0</v>
      </c>
      <c r="G201" s="21">
        <f t="shared" si="113"/>
      </c>
      <c r="H201" s="28">
        <f>IF(F200&lt;0.5,"",IF(OR(YEAR(A201)&lt;YEAR(A202),F201&lt;0.5),SUM($G$11:G201)-SUM($H$11:H200),""))</f>
      </c>
      <c r="I201" s="30">
        <f t="shared" si="114"/>
      </c>
      <c r="J201" s="30">
        <f t="shared" si="115"/>
      </c>
      <c r="K201" s="31">
        <f t="shared" si="116"/>
      </c>
      <c r="L201" s="28">
        <f t="shared" si="117"/>
      </c>
    </row>
    <row r="202" spans="1:12" ht="12.75">
      <c r="A202" s="6">
        <f t="shared" si="86"/>
        <v>42186</v>
      </c>
      <c r="B202" s="19">
        <f t="shared" si="108"/>
        <v>192</v>
      </c>
      <c r="C202" s="26">
        <f t="shared" si="109"/>
      </c>
      <c r="D202" s="26">
        <f t="shared" si="110"/>
      </c>
      <c r="E202" s="26">
        <f t="shared" si="111"/>
      </c>
      <c r="F202" s="26">
        <f t="shared" si="112"/>
        <v>0</v>
      </c>
      <c r="G202" s="21">
        <f t="shared" si="113"/>
      </c>
      <c r="H202" s="28">
        <f>IF(F201&lt;0.5,"",IF(OR(YEAR(A202)&lt;YEAR(A203),F202&lt;0.5),SUM($G$11:G202)-SUM($H$11:H201),""))</f>
      </c>
      <c r="I202" s="30">
        <f t="shared" si="114"/>
      </c>
      <c r="J202" s="30">
        <f t="shared" si="115"/>
      </c>
      <c r="K202" s="31">
        <f t="shared" si="116"/>
      </c>
      <c r="L202" s="28">
        <f t="shared" si="117"/>
      </c>
    </row>
    <row r="203" spans="1:12" ht="12.75">
      <c r="A203" s="6">
        <f t="shared" si="86"/>
        <v>42217</v>
      </c>
      <c r="B203" s="19">
        <f t="shared" si="108"/>
        <v>193</v>
      </c>
      <c r="C203" s="26">
        <f t="shared" si="109"/>
      </c>
      <c r="D203" s="26">
        <f t="shared" si="110"/>
      </c>
      <c r="E203" s="26">
        <f t="shared" si="111"/>
      </c>
      <c r="F203" s="26">
        <f t="shared" si="112"/>
        <v>0</v>
      </c>
      <c r="G203" s="21">
        <f t="shared" si="113"/>
      </c>
      <c r="H203" s="28">
        <f>IF(F202&lt;0.5,"",IF(OR(YEAR(A203)&lt;YEAR(A204),F203&lt;0.5),SUM($G$11:G203)-SUM($H$11:H202),""))</f>
      </c>
      <c r="I203" s="30">
        <f t="shared" si="114"/>
      </c>
      <c r="J203" s="30">
        <f t="shared" si="115"/>
      </c>
      <c r="K203" s="31">
        <f t="shared" si="116"/>
      </c>
      <c r="L203" s="28">
        <f t="shared" si="117"/>
      </c>
    </row>
    <row r="204" spans="1:12" ht="12.75">
      <c r="A204" s="6">
        <f t="shared" si="86"/>
        <v>42248</v>
      </c>
      <c r="B204" s="19">
        <f t="shared" si="108"/>
        <v>194</v>
      </c>
      <c r="C204" s="26">
        <f t="shared" si="109"/>
      </c>
      <c r="D204" s="26">
        <f t="shared" si="110"/>
      </c>
      <c r="E204" s="26">
        <f t="shared" si="111"/>
      </c>
      <c r="F204" s="26">
        <f t="shared" si="112"/>
        <v>0</v>
      </c>
      <c r="G204" s="21">
        <f t="shared" si="113"/>
      </c>
      <c r="H204" s="28">
        <f>IF(F203&lt;0.5,"",IF(OR(YEAR(A204)&lt;YEAR(A205),F204&lt;0.5),SUM($G$11:G204)-SUM($H$11:H203),""))</f>
      </c>
      <c r="I204" s="30">
        <f t="shared" si="114"/>
      </c>
      <c r="J204" s="30">
        <f t="shared" si="115"/>
      </c>
      <c r="K204" s="31">
        <f t="shared" si="116"/>
      </c>
      <c r="L204" s="28">
        <f t="shared" si="117"/>
      </c>
    </row>
    <row r="205" spans="1:12" ht="12.75">
      <c r="A205" s="6">
        <f aca="true" t="shared" si="118" ref="A205:A268">IF($C$6&lt;27,DATE((YEAR(A204)-1900),MONTH(A204)+1,$C$6),DATE((YEAR(A204)-1900),MONTH(A204)+2,1)-1)</f>
        <v>42278</v>
      </c>
      <c r="B205" s="19">
        <f t="shared" si="108"/>
        <v>195</v>
      </c>
      <c r="C205" s="26">
        <f t="shared" si="109"/>
      </c>
      <c r="D205" s="26">
        <f t="shared" si="110"/>
      </c>
      <c r="E205" s="26">
        <f t="shared" si="111"/>
      </c>
      <c r="F205" s="26">
        <f t="shared" si="112"/>
        <v>0</v>
      </c>
      <c r="G205" s="21">
        <f t="shared" si="113"/>
      </c>
      <c r="H205" s="28">
        <f>IF(F204&lt;0.5,"",IF(OR(YEAR(A205)&lt;YEAR(A206),F205&lt;0.5),SUM($G$11:G205)-SUM($H$11:H204),""))</f>
      </c>
      <c r="I205" s="30">
        <f t="shared" si="114"/>
      </c>
      <c r="J205" s="30">
        <f t="shared" si="115"/>
      </c>
      <c r="K205" s="31">
        <f t="shared" si="116"/>
      </c>
      <c r="L205" s="28">
        <f t="shared" si="117"/>
      </c>
    </row>
    <row r="206" spans="1:12" ht="12.75">
      <c r="A206" s="6">
        <f t="shared" si="118"/>
        <v>42309</v>
      </c>
      <c r="B206" s="19">
        <f t="shared" si="108"/>
        <v>196</v>
      </c>
      <c r="C206" s="26">
        <f t="shared" si="109"/>
      </c>
      <c r="D206" s="26">
        <f t="shared" si="110"/>
      </c>
      <c r="E206" s="26">
        <f t="shared" si="111"/>
      </c>
      <c r="F206" s="26">
        <f t="shared" si="112"/>
        <v>0</v>
      </c>
      <c r="G206" s="21">
        <f t="shared" si="113"/>
      </c>
      <c r="H206" s="28">
        <f>IF(F205&lt;0.5,"",IF(OR(YEAR(A206)&lt;YEAR(A207),F206&lt;0.5),SUM($G$11:G206)-SUM($H$11:H205),""))</f>
      </c>
      <c r="I206" s="30">
        <f t="shared" si="114"/>
      </c>
      <c r="J206" s="30">
        <f t="shared" si="115"/>
      </c>
      <c r="K206" s="31">
        <f t="shared" si="116"/>
      </c>
      <c r="L206" s="28">
        <f t="shared" si="117"/>
      </c>
    </row>
    <row r="207" spans="1:12" ht="12.75">
      <c r="A207" s="6">
        <f t="shared" si="118"/>
        <v>42339</v>
      </c>
      <c r="B207" s="19">
        <f t="shared" si="108"/>
        <v>197</v>
      </c>
      <c r="C207" s="26">
        <f t="shared" si="109"/>
      </c>
      <c r="D207" s="26">
        <f t="shared" si="110"/>
      </c>
      <c r="E207" s="26">
        <f t="shared" si="111"/>
      </c>
      <c r="F207" s="26">
        <f t="shared" si="112"/>
        <v>0</v>
      </c>
      <c r="G207" s="21">
        <f t="shared" si="113"/>
      </c>
      <c r="H207" s="28">
        <f>IF(F206&lt;0.5,"",IF(OR(YEAR(A207)&lt;YEAR(A208),F207&lt;0.5),SUM($G$11:G207)-SUM($H$11:H206),""))</f>
      </c>
      <c r="I207" s="30">
        <f t="shared" si="114"/>
      </c>
      <c r="J207" s="30">
        <f t="shared" si="115"/>
      </c>
      <c r="K207" s="31">
        <f t="shared" si="116"/>
      </c>
      <c r="L207" s="28">
        <f t="shared" si="117"/>
      </c>
    </row>
    <row r="208" spans="1:12" ht="12.75">
      <c r="A208" s="6">
        <f t="shared" si="118"/>
        <v>42370</v>
      </c>
      <c r="B208" s="19">
        <f t="shared" si="108"/>
        <v>198</v>
      </c>
      <c r="C208" s="26">
        <f t="shared" si="109"/>
      </c>
      <c r="D208" s="26">
        <f t="shared" si="110"/>
      </c>
      <c r="E208" s="26">
        <f t="shared" si="111"/>
      </c>
      <c r="F208" s="26">
        <f t="shared" si="112"/>
        <v>0</v>
      </c>
      <c r="G208" s="21">
        <f t="shared" si="113"/>
      </c>
      <c r="H208" s="28">
        <f>IF(F207&lt;0.5,"",IF(OR(YEAR(A208)&lt;YEAR(A209),F208&lt;0.5),SUM($G$11:G208)-SUM($H$11:H207),""))</f>
      </c>
      <c r="I208" s="30">
        <f t="shared" si="114"/>
      </c>
      <c r="J208" s="30">
        <f t="shared" si="115"/>
      </c>
      <c r="K208" s="31">
        <f t="shared" si="116"/>
      </c>
      <c r="L208" s="28">
        <f t="shared" si="117"/>
      </c>
    </row>
    <row r="209" spans="1:12" ht="12.75">
      <c r="A209" s="6">
        <f t="shared" si="118"/>
        <v>42401</v>
      </c>
      <c r="B209" s="19">
        <f t="shared" si="108"/>
        <v>199</v>
      </c>
      <c r="C209" s="26">
        <f t="shared" si="109"/>
      </c>
      <c r="D209" s="26">
        <f t="shared" si="110"/>
      </c>
      <c r="E209" s="26">
        <f t="shared" si="111"/>
      </c>
      <c r="F209" s="26">
        <f t="shared" si="112"/>
        <v>0</v>
      </c>
      <c r="G209" s="21">
        <f t="shared" si="113"/>
      </c>
      <c r="H209" s="28">
        <f>IF(F208&lt;0.5,"",IF(OR(YEAR(A209)&lt;YEAR(A210),F209&lt;0.5),SUM($G$11:G209)-SUM($H$11:H208),""))</f>
      </c>
      <c r="I209" s="30">
        <f t="shared" si="114"/>
      </c>
      <c r="J209" s="30">
        <f t="shared" si="115"/>
      </c>
      <c r="K209" s="31">
        <f t="shared" si="116"/>
      </c>
      <c r="L209" s="28">
        <f t="shared" si="117"/>
      </c>
    </row>
    <row r="210" spans="1:12" ht="12.75">
      <c r="A210" s="6">
        <f t="shared" si="118"/>
        <v>42430</v>
      </c>
      <c r="B210" s="19">
        <f t="shared" si="108"/>
        <v>200</v>
      </c>
      <c r="C210" s="26">
        <f t="shared" si="109"/>
      </c>
      <c r="D210" s="26">
        <f t="shared" si="110"/>
      </c>
      <c r="E210" s="26">
        <f t="shared" si="111"/>
      </c>
      <c r="F210" s="26">
        <f t="shared" si="112"/>
        <v>0</v>
      </c>
      <c r="G210" s="21">
        <f t="shared" si="113"/>
      </c>
      <c r="H210" s="28">
        <f>IF(F209&lt;0.5,"",IF(OR(YEAR(A210)&lt;YEAR(A211),F210&lt;0.5),SUM($G$11:G210)-SUM($H$11:H209),""))</f>
      </c>
      <c r="I210" s="30">
        <f t="shared" si="114"/>
      </c>
      <c r="J210" s="30">
        <f t="shared" si="115"/>
      </c>
      <c r="K210" s="31">
        <f t="shared" si="116"/>
      </c>
      <c r="L210" s="28">
        <f t="shared" si="117"/>
      </c>
    </row>
    <row r="211" spans="1:12" ht="12.75">
      <c r="A211" s="6">
        <f t="shared" si="118"/>
        <v>42461</v>
      </c>
      <c r="B211" s="19">
        <f t="shared" si="108"/>
        <v>201</v>
      </c>
      <c r="C211" s="26">
        <f t="shared" si="109"/>
      </c>
      <c r="D211" s="26">
        <f t="shared" si="110"/>
      </c>
      <c r="E211" s="26">
        <f t="shared" si="111"/>
      </c>
      <c r="F211" s="26">
        <f t="shared" si="112"/>
        <v>0</v>
      </c>
      <c r="G211" s="21">
        <f t="shared" si="113"/>
      </c>
      <c r="H211" s="28">
        <f>IF(F210&lt;0.5,"",IF(OR(YEAR(A211)&lt;YEAR(A212),F211&lt;0.5),SUM($G$11:G211)-SUM($H$11:H210),""))</f>
      </c>
      <c r="I211" s="30">
        <f t="shared" si="114"/>
      </c>
      <c r="J211" s="30">
        <f t="shared" si="115"/>
      </c>
      <c r="K211" s="31">
        <f t="shared" si="116"/>
      </c>
      <c r="L211" s="28">
        <f t="shared" si="117"/>
      </c>
    </row>
    <row r="212" spans="1:12" ht="12.75">
      <c r="A212" s="6">
        <f t="shared" si="118"/>
        <v>42491</v>
      </c>
      <c r="B212" s="19">
        <f t="shared" si="108"/>
        <v>202</v>
      </c>
      <c r="C212" s="26">
        <f t="shared" si="109"/>
      </c>
      <c r="D212" s="26">
        <f t="shared" si="110"/>
      </c>
      <c r="E212" s="26">
        <f t="shared" si="111"/>
      </c>
      <c r="F212" s="26">
        <f t="shared" si="112"/>
        <v>0</v>
      </c>
      <c r="G212" s="21">
        <f t="shared" si="113"/>
      </c>
      <c r="H212" s="28">
        <f>IF(F211&lt;0.5,"",IF(OR(YEAR(A212)&lt;YEAR(A213),F212&lt;0.5),SUM($G$11:G212)-SUM($H$11:H211),""))</f>
      </c>
      <c r="I212" s="30">
        <f t="shared" si="114"/>
      </c>
      <c r="J212" s="30">
        <f t="shared" si="115"/>
      </c>
      <c r="K212" s="31">
        <f t="shared" si="116"/>
      </c>
      <c r="L212" s="28">
        <f t="shared" si="117"/>
      </c>
    </row>
    <row r="213" spans="1:12" ht="12.75">
      <c r="A213" s="6">
        <f t="shared" si="118"/>
        <v>42522</v>
      </c>
      <c r="B213" s="19">
        <f t="shared" si="108"/>
        <v>203</v>
      </c>
      <c r="C213" s="26">
        <f t="shared" si="109"/>
      </c>
      <c r="D213" s="26">
        <f t="shared" si="110"/>
      </c>
      <c r="E213" s="26">
        <f t="shared" si="111"/>
      </c>
      <c r="F213" s="26">
        <f t="shared" si="112"/>
        <v>0</v>
      </c>
      <c r="G213" s="21">
        <f t="shared" si="113"/>
      </c>
      <c r="H213" s="28">
        <f>IF(F212&lt;0.5,"",IF(OR(YEAR(A213)&lt;YEAR(A214),F213&lt;0.5),SUM($G$11:G213)-SUM($H$11:H212),""))</f>
      </c>
      <c r="I213" s="30">
        <f t="shared" si="114"/>
      </c>
      <c r="J213" s="30">
        <f t="shared" si="115"/>
      </c>
      <c r="K213" s="31">
        <f t="shared" si="116"/>
      </c>
      <c r="L213" s="28">
        <f t="shared" si="117"/>
      </c>
    </row>
    <row r="214" spans="1:12" ht="12.75">
      <c r="A214" s="6">
        <f t="shared" si="118"/>
        <v>42552</v>
      </c>
      <c r="B214" s="19">
        <f t="shared" si="108"/>
        <v>204</v>
      </c>
      <c r="C214" s="26">
        <f t="shared" si="109"/>
      </c>
      <c r="D214" s="26">
        <f t="shared" si="110"/>
      </c>
      <c r="E214" s="26">
        <f t="shared" si="111"/>
      </c>
      <c r="F214" s="26">
        <f t="shared" si="112"/>
        <v>0</v>
      </c>
      <c r="G214" s="21">
        <f t="shared" si="113"/>
      </c>
      <c r="H214" s="28">
        <f>IF(F213&lt;0.5,"",IF(OR(YEAR(A214)&lt;YEAR(A215),F214&lt;0.5),SUM($G$11:G214)-SUM($H$11:H213),""))</f>
      </c>
      <c r="I214" s="30">
        <f t="shared" si="114"/>
      </c>
      <c r="J214" s="30">
        <f t="shared" si="115"/>
      </c>
      <c r="K214" s="31">
        <f t="shared" si="116"/>
      </c>
      <c r="L214" s="28">
        <f t="shared" si="117"/>
      </c>
    </row>
    <row r="215" spans="1:12" ht="12.75">
      <c r="A215" s="6">
        <f t="shared" si="118"/>
        <v>42583</v>
      </c>
      <c r="B215" s="19">
        <f t="shared" si="108"/>
        <v>205</v>
      </c>
      <c r="C215" s="26">
        <f t="shared" si="109"/>
      </c>
      <c r="D215" s="26">
        <f t="shared" si="110"/>
      </c>
      <c r="E215" s="26">
        <f t="shared" si="111"/>
      </c>
      <c r="F215" s="26">
        <f t="shared" si="112"/>
        <v>0</v>
      </c>
      <c r="G215" s="21">
        <f t="shared" si="113"/>
      </c>
      <c r="H215" s="28">
        <f>IF(F214&lt;0.5,"",IF(OR(YEAR(A215)&lt;YEAR(A216),F215&lt;0.5),SUM($G$11:G215)-SUM($H$11:H214),""))</f>
      </c>
      <c r="I215" s="30">
        <f t="shared" si="114"/>
      </c>
      <c r="J215" s="30">
        <f t="shared" si="115"/>
      </c>
      <c r="K215" s="31">
        <f t="shared" si="116"/>
      </c>
      <c r="L215" s="28">
        <f t="shared" si="117"/>
      </c>
    </row>
    <row r="216" spans="1:12" ht="12.75">
      <c r="A216" s="6">
        <f t="shared" si="118"/>
        <v>42614</v>
      </c>
      <c r="B216" s="19">
        <f t="shared" si="108"/>
        <v>206</v>
      </c>
      <c r="C216" s="26">
        <f t="shared" si="109"/>
      </c>
      <c r="D216" s="26">
        <f t="shared" si="110"/>
      </c>
      <c r="E216" s="26">
        <f t="shared" si="111"/>
      </c>
      <c r="F216" s="26">
        <f t="shared" si="112"/>
        <v>0</v>
      </c>
      <c r="G216" s="21">
        <f t="shared" si="113"/>
      </c>
      <c r="H216" s="28">
        <f>IF(F215&lt;0.5,"",IF(OR(YEAR(A216)&lt;YEAR(A217),F216&lt;0.5),SUM($G$11:G216)-SUM($H$11:H215),""))</f>
      </c>
      <c r="I216" s="30">
        <f t="shared" si="114"/>
      </c>
      <c r="J216" s="30">
        <f t="shared" si="115"/>
      </c>
      <c r="K216" s="31">
        <f t="shared" si="116"/>
      </c>
      <c r="L216" s="28">
        <f t="shared" si="117"/>
      </c>
    </row>
    <row r="217" spans="1:12" ht="12.75">
      <c r="A217" s="6">
        <f t="shared" si="118"/>
        <v>42644</v>
      </c>
      <c r="B217" s="19">
        <f t="shared" si="108"/>
        <v>207</v>
      </c>
      <c r="C217" s="26">
        <f t="shared" si="109"/>
      </c>
      <c r="D217" s="26">
        <f t="shared" si="110"/>
      </c>
      <c r="E217" s="26">
        <f t="shared" si="111"/>
      </c>
      <c r="F217" s="26">
        <f t="shared" si="112"/>
        <v>0</v>
      </c>
      <c r="G217" s="21">
        <f t="shared" si="113"/>
      </c>
      <c r="H217" s="28">
        <f>IF(F216&lt;0.5,"",IF(OR(YEAR(A217)&lt;YEAR(A218),F217&lt;0.5),SUM($G$11:G217)-SUM($H$11:H216),""))</f>
      </c>
      <c r="I217" s="30">
        <f t="shared" si="114"/>
      </c>
      <c r="J217" s="30">
        <f t="shared" si="115"/>
      </c>
      <c r="K217" s="31">
        <f t="shared" si="116"/>
      </c>
      <c r="L217" s="28">
        <f t="shared" si="117"/>
      </c>
    </row>
    <row r="218" spans="1:12" ht="12.75">
      <c r="A218" s="6">
        <f t="shared" si="118"/>
        <v>42675</v>
      </c>
      <c r="B218" s="19">
        <f t="shared" si="108"/>
        <v>208</v>
      </c>
      <c r="C218" s="26">
        <f t="shared" si="109"/>
      </c>
      <c r="D218" s="26">
        <f t="shared" si="110"/>
      </c>
      <c r="E218" s="26">
        <f t="shared" si="111"/>
      </c>
      <c r="F218" s="26">
        <f t="shared" si="112"/>
        <v>0</v>
      </c>
      <c r="G218" s="21">
        <f t="shared" si="113"/>
      </c>
      <c r="H218" s="28">
        <f>IF(F217&lt;0.5,"",IF(OR(YEAR(A218)&lt;YEAR(A219),F218&lt;0.5),SUM($G$11:G218)-SUM($H$11:H217),""))</f>
      </c>
      <c r="I218" s="30">
        <f t="shared" si="114"/>
      </c>
      <c r="J218" s="30">
        <f t="shared" si="115"/>
      </c>
      <c r="K218" s="31">
        <f t="shared" si="116"/>
      </c>
      <c r="L218" s="28">
        <f t="shared" si="117"/>
      </c>
    </row>
    <row r="219" spans="1:12" ht="12.75">
      <c r="A219" s="6">
        <f t="shared" si="118"/>
        <v>42705</v>
      </c>
      <c r="B219" s="19">
        <f t="shared" si="108"/>
        <v>209</v>
      </c>
      <c r="C219" s="26">
        <f t="shared" si="109"/>
      </c>
      <c r="D219" s="26">
        <f t="shared" si="110"/>
      </c>
      <c r="E219" s="26">
        <f t="shared" si="111"/>
      </c>
      <c r="F219" s="26">
        <f t="shared" si="112"/>
        <v>0</v>
      </c>
      <c r="G219" s="21">
        <f t="shared" si="113"/>
      </c>
      <c r="H219" s="28">
        <f>IF(F218&lt;0.5,"",IF(OR(YEAR(A219)&lt;YEAR(A220),F219&lt;0.5),SUM($G$11:G219)-SUM($H$11:H218),""))</f>
      </c>
      <c r="I219" s="30">
        <f t="shared" si="114"/>
      </c>
      <c r="J219" s="30">
        <f t="shared" si="115"/>
      </c>
      <c r="K219" s="31">
        <f t="shared" si="116"/>
      </c>
      <c r="L219" s="28">
        <f t="shared" si="117"/>
      </c>
    </row>
    <row r="220" spans="1:12" ht="12.75">
      <c r="A220" s="6">
        <f t="shared" si="118"/>
        <v>42736</v>
      </c>
      <c r="B220" s="19">
        <f t="shared" si="108"/>
        <v>210</v>
      </c>
      <c r="C220" s="26">
        <f t="shared" si="109"/>
      </c>
      <c r="D220" s="26">
        <f t="shared" si="110"/>
      </c>
      <c r="E220" s="26">
        <f t="shared" si="111"/>
      </c>
      <c r="F220" s="26">
        <f t="shared" si="112"/>
        <v>0</v>
      </c>
      <c r="G220" s="21">
        <f t="shared" si="113"/>
      </c>
      <c r="H220" s="28">
        <f>IF(F219&lt;0.5,"",IF(OR(YEAR(A220)&lt;YEAR(A221),F220&lt;0.5),SUM($G$11:G220)-SUM($H$11:H219),""))</f>
      </c>
      <c r="I220" s="30">
        <f t="shared" si="114"/>
      </c>
      <c r="J220" s="30">
        <f t="shared" si="115"/>
      </c>
      <c r="K220" s="31">
        <f t="shared" si="116"/>
      </c>
      <c r="L220" s="28">
        <f t="shared" si="117"/>
      </c>
    </row>
    <row r="221" spans="1:12" ht="12.75">
      <c r="A221" s="6">
        <f t="shared" si="118"/>
        <v>42767</v>
      </c>
      <c r="B221" s="19">
        <f t="shared" si="108"/>
        <v>211</v>
      </c>
      <c r="C221" s="26">
        <f t="shared" si="109"/>
      </c>
      <c r="D221" s="26">
        <f t="shared" si="110"/>
      </c>
      <c r="E221" s="26">
        <f t="shared" si="111"/>
      </c>
      <c r="F221" s="26">
        <f t="shared" si="112"/>
        <v>0</v>
      </c>
      <c r="G221" s="21">
        <f t="shared" si="113"/>
      </c>
      <c r="H221" s="28">
        <f>IF(F220&lt;0.5,"",IF(OR(YEAR(A221)&lt;YEAR(A222),F221&lt;0.5),SUM($G$11:G221)-SUM($H$11:H220),""))</f>
      </c>
      <c r="I221" s="30">
        <f t="shared" si="114"/>
      </c>
      <c r="J221" s="30">
        <f t="shared" si="115"/>
      </c>
      <c r="K221" s="31">
        <f t="shared" si="116"/>
      </c>
      <c r="L221" s="28">
        <f t="shared" si="117"/>
      </c>
    </row>
    <row r="222" spans="1:12" ht="12.75">
      <c r="A222" s="6">
        <f t="shared" si="118"/>
        <v>42795</v>
      </c>
      <c r="B222" s="19">
        <f t="shared" si="108"/>
        <v>212</v>
      </c>
      <c r="C222" s="26">
        <f t="shared" si="109"/>
      </c>
      <c r="D222" s="26">
        <f t="shared" si="110"/>
      </c>
      <c r="E222" s="26">
        <f t="shared" si="111"/>
      </c>
      <c r="F222" s="26">
        <f t="shared" si="112"/>
        <v>0</v>
      </c>
      <c r="G222" s="21">
        <f t="shared" si="113"/>
      </c>
      <c r="H222" s="28">
        <f>IF(F221&lt;0.5,"",IF(OR(YEAR(A222)&lt;YEAR(A223),F222&lt;0.5),SUM($G$11:G222)-SUM($H$11:H221),""))</f>
      </c>
      <c r="I222" s="30">
        <f t="shared" si="114"/>
      </c>
      <c r="J222" s="30">
        <f t="shared" si="115"/>
      </c>
      <c r="K222" s="31">
        <f t="shared" si="116"/>
      </c>
      <c r="L222" s="28">
        <f t="shared" si="117"/>
      </c>
    </row>
    <row r="223" spans="1:12" ht="12.75">
      <c r="A223" s="6">
        <f t="shared" si="118"/>
        <v>42826</v>
      </c>
      <c r="B223" s="19">
        <f t="shared" si="108"/>
        <v>213</v>
      </c>
      <c r="C223" s="26">
        <f t="shared" si="109"/>
      </c>
      <c r="D223" s="26">
        <f t="shared" si="110"/>
      </c>
      <c r="E223" s="26">
        <f t="shared" si="111"/>
      </c>
      <c r="F223" s="26">
        <f t="shared" si="112"/>
        <v>0</v>
      </c>
      <c r="G223" s="21">
        <f t="shared" si="113"/>
      </c>
      <c r="H223" s="28">
        <f>IF(F222&lt;0.5,"",IF(OR(YEAR(A223)&lt;YEAR(A224),F223&lt;0.5),SUM($G$11:G223)-SUM($H$11:H222),""))</f>
      </c>
      <c r="I223" s="30">
        <f t="shared" si="114"/>
      </c>
      <c r="J223" s="30">
        <f t="shared" si="115"/>
      </c>
      <c r="K223" s="31">
        <f t="shared" si="116"/>
      </c>
      <c r="L223" s="28">
        <f t="shared" si="117"/>
      </c>
    </row>
    <row r="224" spans="1:12" ht="12.75">
      <c r="A224" s="6">
        <f t="shared" si="118"/>
        <v>42856</v>
      </c>
      <c r="B224" s="19">
        <f t="shared" si="108"/>
        <v>214</v>
      </c>
      <c r="C224" s="26">
        <f t="shared" si="109"/>
      </c>
      <c r="D224" s="26">
        <f t="shared" si="110"/>
      </c>
      <c r="E224" s="26">
        <f t="shared" si="111"/>
      </c>
      <c r="F224" s="26">
        <f t="shared" si="112"/>
        <v>0</v>
      </c>
      <c r="G224" s="21">
        <f t="shared" si="113"/>
      </c>
      <c r="H224" s="28">
        <f>IF(F223&lt;0.5,"",IF(OR(YEAR(A224)&lt;YEAR(A225),F224&lt;0.5),SUM($G$11:G224)-SUM($H$11:H223),""))</f>
      </c>
      <c r="I224" s="30">
        <f t="shared" si="114"/>
      </c>
      <c r="J224" s="30">
        <f t="shared" si="115"/>
      </c>
      <c r="K224" s="31">
        <f t="shared" si="116"/>
      </c>
      <c r="L224" s="28">
        <f t="shared" si="117"/>
      </c>
    </row>
    <row r="225" spans="1:12" ht="12.75">
      <c r="A225" s="6">
        <f t="shared" si="118"/>
        <v>42887</v>
      </c>
      <c r="B225" s="19">
        <f t="shared" si="108"/>
        <v>215</v>
      </c>
      <c r="C225" s="26">
        <f t="shared" si="109"/>
      </c>
      <c r="D225" s="26">
        <f t="shared" si="110"/>
      </c>
      <c r="E225" s="26">
        <f t="shared" si="111"/>
      </c>
      <c r="F225" s="26">
        <f t="shared" si="112"/>
        <v>0</v>
      </c>
      <c r="G225" s="21">
        <f t="shared" si="113"/>
      </c>
      <c r="H225" s="28">
        <f>IF(F224&lt;0.5,"",IF(OR(YEAR(A225)&lt;YEAR(A226),F225&lt;0.5),SUM($G$11:G225)-SUM($H$11:H224),""))</f>
      </c>
      <c r="I225" s="30">
        <f t="shared" si="114"/>
      </c>
      <c r="J225" s="30">
        <f t="shared" si="115"/>
      </c>
      <c r="K225" s="31">
        <f t="shared" si="116"/>
      </c>
      <c r="L225" s="28">
        <f t="shared" si="117"/>
      </c>
    </row>
    <row r="226" spans="1:12" ht="12.75">
      <c r="A226" s="6">
        <f t="shared" si="118"/>
        <v>42917</v>
      </c>
      <c r="B226" s="19">
        <f t="shared" si="108"/>
        <v>216</v>
      </c>
      <c r="C226" s="26">
        <f t="shared" si="109"/>
      </c>
      <c r="D226" s="26">
        <f t="shared" si="110"/>
      </c>
      <c r="E226" s="26">
        <f t="shared" si="111"/>
      </c>
      <c r="F226" s="26">
        <f t="shared" si="112"/>
        <v>0</v>
      </c>
      <c r="G226" s="21">
        <f t="shared" si="113"/>
      </c>
      <c r="H226" s="28">
        <f>IF(F225&lt;0.5,"",IF(OR(YEAR(A226)&lt;YEAR(A227),F226&lt;0.5),SUM($G$11:G226)-SUM($H$11:H225),""))</f>
      </c>
      <c r="I226" s="30">
        <f t="shared" si="114"/>
      </c>
      <c r="J226" s="30">
        <f t="shared" si="115"/>
      </c>
      <c r="K226" s="31">
        <f t="shared" si="116"/>
      </c>
      <c r="L226" s="28">
        <f t="shared" si="117"/>
      </c>
    </row>
    <row r="227" spans="1:12" ht="12.75">
      <c r="A227" s="6">
        <f t="shared" si="118"/>
        <v>42948</v>
      </c>
      <c r="B227" s="19">
        <f t="shared" si="108"/>
        <v>217</v>
      </c>
      <c r="C227" s="26">
        <f t="shared" si="109"/>
      </c>
      <c r="D227" s="26">
        <f t="shared" si="110"/>
      </c>
      <c r="E227" s="26">
        <f t="shared" si="111"/>
      </c>
      <c r="F227" s="26">
        <f t="shared" si="112"/>
        <v>0</v>
      </c>
      <c r="G227" s="21">
        <f t="shared" si="113"/>
      </c>
      <c r="H227" s="28">
        <f>IF(F226&lt;0.5,"",IF(OR(YEAR(A227)&lt;YEAR(A228),F227&lt;0.5),SUM($G$11:G227)-SUM($H$11:H226),""))</f>
      </c>
      <c r="I227" s="30">
        <f t="shared" si="114"/>
      </c>
      <c r="J227" s="30">
        <f t="shared" si="115"/>
      </c>
      <c r="K227" s="31">
        <f t="shared" si="116"/>
      </c>
      <c r="L227" s="28">
        <f t="shared" si="117"/>
      </c>
    </row>
    <row r="228" spans="1:12" ht="12.75">
      <c r="A228" s="6">
        <f t="shared" si="118"/>
        <v>42979</v>
      </c>
      <c r="B228" s="19">
        <f t="shared" si="108"/>
        <v>218</v>
      </c>
      <c r="C228" s="26">
        <f t="shared" si="109"/>
      </c>
      <c r="D228" s="26">
        <f t="shared" si="110"/>
      </c>
      <c r="E228" s="26">
        <f t="shared" si="111"/>
      </c>
      <c r="F228" s="26">
        <f t="shared" si="112"/>
        <v>0</v>
      </c>
      <c r="G228" s="21">
        <f t="shared" si="113"/>
      </c>
      <c r="H228" s="28">
        <f>IF(F227&lt;0.5,"",IF(OR(YEAR(A228)&lt;YEAR(A229),F228&lt;0.5),SUM($G$11:G228)-SUM($H$11:H227),""))</f>
      </c>
      <c r="I228" s="30">
        <f t="shared" si="114"/>
      </c>
      <c r="J228" s="30">
        <f t="shared" si="115"/>
      </c>
      <c r="K228" s="31">
        <f t="shared" si="116"/>
      </c>
      <c r="L228" s="28">
        <f t="shared" si="117"/>
      </c>
    </row>
    <row r="229" spans="1:12" ht="12.75">
      <c r="A229" s="6">
        <f t="shared" si="118"/>
        <v>43009</v>
      </c>
      <c r="B229" s="19">
        <f t="shared" si="108"/>
        <v>219</v>
      </c>
      <c r="C229" s="26">
        <f t="shared" si="109"/>
      </c>
      <c r="D229" s="26">
        <f t="shared" si="110"/>
      </c>
      <c r="E229" s="26">
        <f t="shared" si="111"/>
      </c>
      <c r="F229" s="26">
        <f t="shared" si="112"/>
        <v>0</v>
      </c>
      <c r="G229" s="21">
        <f t="shared" si="113"/>
      </c>
      <c r="H229" s="28">
        <f>IF(F228&lt;0.5,"",IF(OR(YEAR(A229)&lt;YEAR(A230),F229&lt;0.5),SUM($G$11:G229)-SUM($H$11:H228),""))</f>
      </c>
      <c r="I229" s="30">
        <f t="shared" si="114"/>
      </c>
      <c r="J229" s="30">
        <f t="shared" si="115"/>
      </c>
      <c r="K229" s="31">
        <f t="shared" si="116"/>
      </c>
      <c r="L229" s="28">
        <f t="shared" si="117"/>
      </c>
    </row>
    <row r="230" spans="1:12" ht="12.75">
      <c r="A230" s="6">
        <f t="shared" si="118"/>
        <v>43040</v>
      </c>
      <c r="B230" s="19">
        <f t="shared" si="108"/>
        <v>220</v>
      </c>
      <c r="C230" s="26">
        <f t="shared" si="109"/>
      </c>
      <c r="D230" s="26">
        <f t="shared" si="110"/>
      </c>
      <c r="E230" s="26">
        <f t="shared" si="111"/>
      </c>
      <c r="F230" s="26">
        <f t="shared" si="112"/>
        <v>0</v>
      </c>
      <c r="G230" s="21">
        <f t="shared" si="113"/>
      </c>
      <c r="H230" s="28">
        <f>IF(F229&lt;0.5,"",IF(OR(YEAR(A230)&lt;YEAR(A231),F230&lt;0.5),SUM($G$11:G230)-SUM($H$11:H229),""))</f>
      </c>
      <c r="I230" s="30">
        <f t="shared" si="114"/>
      </c>
      <c r="J230" s="30">
        <f t="shared" si="115"/>
      </c>
      <c r="K230" s="31">
        <f t="shared" si="116"/>
      </c>
      <c r="L230" s="28">
        <f t="shared" si="117"/>
      </c>
    </row>
    <row r="231" spans="1:12" ht="12.75">
      <c r="A231" s="6">
        <f t="shared" si="118"/>
        <v>43070</v>
      </c>
      <c r="B231" s="19">
        <f t="shared" si="108"/>
        <v>221</v>
      </c>
      <c r="C231" s="26">
        <f t="shared" si="109"/>
      </c>
      <c r="D231" s="26">
        <f t="shared" si="110"/>
      </c>
      <c r="E231" s="26">
        <f t="shared" si="111"/>
      </c>
      <c r="F231" s="26">
        <f t="shared" si="112"/>
        <v>0</v>
      </c>
      <c r="G231" s="21">
        <f t="shared" si="113"/>
      </c>
      <c r="H231" s="28">
        <f>IF(F230&lt;0.5,"",IF(OR(YEAR(A231)&lt;YEAR(A232),F231&lt;0.5),SUM($G$11:G231)-SUM($H$11:H230),""))</f>
      </c>
      <c r="I231" s="30">
        <f t="shared" si="114"/>
      </c>
      <c r="J231" s="30">
        <f t="shared" si="115"/>
      </c>
      <c r="K231" s="31">
        <f t="shared" si="116"/>
      </c>
      <c r="L231" s="28">
        <f t="shared" si="117"/>
      </c>
    </row>
    <row r="232" spans="1:12" ht="12.75">
      <c r="A232" s="6">
        <f t="shared" si="118"/>
        <v>43101</v>
      </c>
      <c r="B232" s="19">
        <f t="shared" si="108"/>
        <v>222</v>
      </c>
      <c r="C232" s="26">
        <f t="shared" si="109"/>
      </c>
      <c r="D232" s="26">
        <f t="shared" si="110"/>
      </c>
      <c r="E232" s="26">
        <f t="shared" si="111"/>
      </c>
      <c r="F232" s="26">
        <f t="shared" si="112"/>
        <v>0</v>
      </c>
      <c r="G232" s="21">
        <f t="shared" si="113"/>
      </c>
      <c r="H232" s="28">
        <f>IF(F231&lt;0.5,"",IF(OR(YEAR(A232)&lt;YEAR(A233),F232&lt;0.5),SUM($G$11:G232)-SUM($H$11:H231),""))</f>
      </c>
      <c r="I232" s="30">
        <f t="shared" si="114"/>
      </c>
      <c r="J232" s="30">
        <f t="shared" si="115"/>
      </c>
      <c r="K232" s="31">
        <f t="shared" si="116"/>
      </c>
      <c r="L232" s="28">
        <f t="shared" si="117"/>
      </c>
    </row>
    <row r="233" spans="1:12" ht="12.75">
      <c r="A233" s="6">
        <f t="shared" si="118"/>
        <v>43132</v>
      </c>
      <c r="B233" s="19">
        <f t="shared" si="108"/>
        <v>223</v>
      </c>
      <c r="C233" s="26">
        <f t="shared" si="109"/>
      </c>
      <c r="D233" s="26">
        <f t="shared" si="110"/>
      </c>
      <c r="E233" s="26">
        <f t="shared" si="111"/>
      </c>
      <c r="F233" s="26">
        <f t="shared" si="112"/>
        <v>0</v>
      </c>
      <c r="G233" s="21">
        <f t="shared" si="113"/>
      </c>
      <c r="H233" s="28">
        <f>IF(F232&lt;0.5,"",IF(OR(YEAR(A233)&lt;YEAR(A234),F233&lt;0.5),SUM($G$11:G233)-SUM($H$11:H232),""))</f>
      </c>
      <c r="I233" s="30">
        <f t="shared" si="114"/>
      </c>
      <c r="J233" s="30">
        <f t="shared" si="115"/>
      </c>
      <c r="K233" s="31">
        <f t="shared" si="116"/>
      </c>
      <c r="L233" s="28">
        <f t="shared" si="117"/>
      </c>
    </row>
    <row r="234" spans="1:12" ht="12.75">
      <c r="A234" s="6">
        <f t="shared" si="118"/>
        <v>43160</v>
      </c>
      <c r="B234" s="19">
        <f t="shared" si="108"/>
        <v>224</v>
      </c>
      <c r="C234" s="26">
        <f t="shared" si="109"/>
      </c>
      <c r="D234" s="26">
        <f t="shared" si="110"/>
      </c>
      <c r="E234" s="26">
        <f t="shared" si="111"/>
      </c>
      <c r="F234" s="26">
        <f t="shared" si="112"/>
        <v>0</v>
      </c>
      <c r="G234" s="21">
        <f t="shared" si="113"/>
      </c>
      <c r="H234" s="28">
        <f>IF(F233&lt;0.5,"",IF(OR(YEAR(A234)&lt;YEAR(A235),F234&lt;0.5),SUM($G$11:G234)-SUM($H$11:H233),""))</f>
      </c>
      <c r="I234" s="30">
        <f t="shared" si="114"/>
      </c>
      <c r="J234" s="30">
        <f t="shared" si="115"/>
      </c>
      <c r="K234" s="31">
        <f t="shared" si="116"/>
      </c>
      <c r="L234" s="28">
        <f t="shared" si="117"/>
      </c>
    </row>
    <row r="235" spans="1:12" ht="12.75">
      <c r="A235" s="6">
        <f t="shared" si="118"/>
        <v>43191</v>
      </c>
      <c r="B235" s="19">
        <f t="shared" si="108"/>
        <v>225</v>
      </c>
      <c r="C235" s="26">
        <f t="shared" si="109"/>
      </c>
      <c r="D235" s="26">
        <f t="shared" si="110"/>
      </c>
      <c r="E235" s="26">
        <f t="shared" si="111"/>
      </c>
      <c r="F235" s="26">
        <f t="shared" si="112"/>
        <v>0</v>
      </c>
      <c r="G235" s="21">
        <f t="shared" si="113"/>
      </c>
      <c r="H235" s="28">
        <f>IF(F234&lt;0.5,"",IF(OR(YEAR(A235)&lt;YEAR(A236),F235&lt;0.5),SUM($G$11:G235)-SUM($H$11:H234),""))</f>
      </c>
      <c r="I235" s="30">
        <f t="shared" si="114"/>
      </c>
      <c r="J235" s="30">
        <f t="shared" si="115"/>
      </c>
      <c r="K235" s="31">
        <f t="shared" si="116"/>
      </c>
      <c r="L235" s="28">
        <f t="shared" si="117"/>
      </c>
    </row>
    <row r="236" spans="1:12" ht="12.75">
      <c r="A236" s="6">
        <f t="shared" si="118"/>
        <v>43221</v>
      </c>
      <c r="B236" s="19">
        <f t="shared" si="108"/>
        <v>226</v>
      </c>
      <c r="C236" s="26">
        <f t="shared" si="109"/>
      </c>
      <c r="D236" s="26">
        <f t="shared" si="110"/>
      </c>
      <c r="E236" s="26">
        <f t="shared" si="111"/>
      </c>
      <c r="F236" s="26">
        <f t="shared" si="112"/>
        <v>0</v>
      </c>
      <c r="G236" s="21">
        <f t="shared" si="113"/>
      </c>
      <c r="H236" s="28">
        <f>IF(F235&lt;0.5,"",IF(OR(YEAR(A236)&lt;YEAR(A237),F236&lt;0.5),SUM($G$11:G236)-SUM($H$11:H235),""))</f>
      </c>
      <c r="I236" s="30">
        <f t="shared" si="114"/>
      </c>
      <c r="J236" s="30">
        <f t="shared" si="115"/>
      </c>
      <c r="K236" s="31">
        <f t="shared" si="116"/>
      </c>
      <c r="L236" s="28">
        <f t="shared" si="117"/>
      </c>
    </row>
    <row r="237" spans="1:12" ht="12.75">
      <c r="A237" s="6">
        <f t="shared" si="118"/>
        <v>43252</v>
      </c>
      <c r="B237" s="19">
        <f t="shared" si="108"/>
        <v>227</v>
      </c>
      <c r="C237" s="26">
        <f t="shared" si="109"/>
      </c>
      <c r="D237" s="26">
        <f t="shared" si="110"/>
      </c>
      <c r="E237" s="26">
        <f t="shared" si="111"/>
      </c>
      <c r="F237" s="26">
        <f t="shared" si="112"/>
        <v>0</v>
      </c>
      <c r="G237" s="21">
        <f t="shared" si="113"/>
      </c>
      <c r="H237" s="28">
        <f>IF(F236&lt;0.5,"",IF(OR(YEAR(A237)&lt;YEAR(A238),F237&lt;0.5),SUM($G$11:G237)-SUM($H$11:H236),""))</f>
      </c>
      <c r="I237" s="30">
        <f t="shared" si="114"/>
      </c>
      <c r="J237" s="30">
        <f t="shared" si="115"/>
      </c>
      <c r="K237" s="31">
        <f t="shared" si="116"/>
      </c>
      <c r="L237" s="28">
        <f t="shared" si="117"/>
      </c>
    </row>
    <row r="238" spans="1:12" ht="12.75">
      <c r="A238" s="6">
        <f t="shared" si="118"/>
        <v>43282</v>
      </c>
      <c r="B238" s="19">
        <f t="shared" si="108"/>
        <v>228</v>
      </c>
      <c r="C238" s="26">
        <f t="shared" si="109"/>
      </c>
      <c r="D238" s="26">
        <f t="shared" si="110"/>
      </c>
      <c r="E238" s="26">
        <f t="shared" si="111"/>
      </c>
      <c r="F238" s="26">
        <f t="shared" si="112"/>
        <v>0</v>
      </c>
      <c r="G238" s="21">
        <f t="shared" si="113"/>
      </c>
      <c r="H238" s="28">
        <f>IF(F237&lt;0.5,"",IF(OR(YEAR(A238)&lt;YEAR(A239),F238&lt;0.5),SUM($G$11:G238)-SUM($H$11:H237),""))</f>
      </c>
      <c r="I238" s="30">
        <f t="shared" si="114"/>
      </c>
      <c r="J238" s="30">
        <f t="shared" si="115"/>
      </c>
      <c r="K238" s="31">
        <f t="shared" si="116"/>
      </c>
      <c r="L238" s="28">
        <f t="shared" si="117"/>
      </c>
    </row>
    <row r="239" spans="1:12" ht="12.75">
      <c r="A239" s="6">
        <f t="shared" si="118"/>
        <v>43313</v>
      </c>
      <c r="B239" s="19">
        <f t="shared" si="108"/>
        <v>229</v>
      </c>
      <c r="C239" s="26">
        <f t="shared" si="109"/>
      </c>
      <c r="D239" s="26">
        <f t="shared" si="110"/>
      </c>
      <c r="E239" s="26">
        <f t="shared" si="111"/>
      </c>
      <c r="F239" s="26">
        <f t="shared" si="112"/>
        <v>0</v>
      </c>
      <c r="G239" s="21">
        <f t="shared" si="113"/>
      </c>
      <c r="H239" s="28">
        <f>IF(F238&lt;0.5,"",IF(OR(YEAR(A239)&lt;YEAR(A240),F239&lt;0.5),SUM($G$11:G239)-SUM($H$11:H238),""))</f>
      </c>
      <c r="I239" s="30">
        <f t="shared" si="114"/>
      </c>
      <c r="J239" s="30">
        <f t="shared" si="115"/>
      </c>
      <c r="K239" s="31">
        <f t="shared" si="116"/>
      </c>
      <c r="L239" s="28">
        <f t="shared" si="117"/>
      </c>
    </row>
    <row r="240" spans="1:12" ht="12.75">
      <c r="A240" s="6">
        <f t="shared" si="118"/>
        <v>43344</v>
      </c>
      <c r="B240" s="19">
        <f t="shared" si="108"/>
        <v>230</v>
      </c>
      <c r="C240" s="26">
        <f t="shared" si="109"/>
      </c>
      <c r="D240" s="26">
        <f t="shared" si="110"/>
      </c>
      <c r="E240" s="26">
        <f t="shared" si="111"/>
      </c>
      <c r="F240" s="26">
        <f t="shared" si="112"/>
        <v>0</v>
      </c>
      <c r="G240" s="21">
        <f t="shared" si="113"/>
      </c>
      <c r="H240" s="28">
        <f>IF(F239&lt;0.5,"",IF(OR(YEAR(A240)&lt;YEAR(A241),F240&lt;0.5),SUM($G$11:G240)-SUM($H$11:H239),""))</f>
      </c>
      <c r="I240" s="30">
        <f t="shared" si="114"/>
      </c>
      <c r="J240" s="30">
        <f t="shared" si="115"/>
      </c>
      <c r="K240" s="31">
        <f t="shared" si="116"/>
      </c>
      <c r="L240" s="28">
        <f t="shared" si="117"/>
      </c>
    </row>
    <row r="241" spans="1:12" ht="12.75">
      <c r="A241" s="6">
        <f t="shared" si="118"/>
        <v>43374</v>
      </c>
      <c r="B241" s="19">
        <f t="shared" si="108"/>
        <v>231</v>
      </c>
      <c r="C241" s="26">
        <f t="shared" si="109"/>
      </c>
      <c r="D241" s="26">
        <f t="shared" si="110"/>
      </c>
      <c r="E241" s="26">
        <f t="shared" si="111"/>
      </c>
      <c r="F241" s="26">
        <f t="shared" si="112"/>
        <v>0</v>
      </c>
      <c r="G241" s="21">
        <f t="shared" si="113"/>
      </c>
      <c r="H241" s="28">
        <f>IF(F240&lt;0.5,"",IF(OR(YEAR(A241)&lt;YEAR(A242),F241&lt;0.5),SUM($G$11:G241)-SUM($H$11:H240),""))</f>
      </c>
      <c r="I241" s="30">
        <f t="shared" si="114"/>
      </c>
      <c r="J241" s="30">
        <f t="shared" si="115"/>
      </c>
      <c r="K241" s="31">
        <f t="shared" si="116"/>
      </c>
      <c r="L241" s="28">
        <f t="shared" si="117"/>
      </c>
    </row>
    <row r="242" spans="1:12" ht="12.75">
      <c r="A242" s="6">
        <f t="shared" si="118"/>
        <v>43405</v>
      </c>
      <c r="B242" s="19">
        <f t="shared" si="108"/>
        <v>232</v>
      </c>
      <c r="C242" s="26">
        <f t="shared" si="109"/>
      </c>
      <c r="D242" s="26">
        <f t="shared" si="110"/>
      </c>
      <c r="E242" s="26">
        <f t="shared" si="111"/>
      </c>
      <c r="F242" s="26">
        <f t="shared" si="112"/>
        <v>0</v>
      </c>
      <c r="G242" s="21">
        <f t="shared" si="113"/>
      </c>
      <c r="H242" s="28">
        <f>IF(F241&lt;0.5,"",IF(OR(YEAR(A242)&lt;YEAR(A243),F242&lt;0.5),SUM($G$11:G242)-SUM($H$11:H241),""))</f>
      </c>
      <c r="I242" s="30">
        <f t="shared" si="114"/>
      </c>
      <c r="J242" s="30">
        <f t="shared" si="115"/>
      </c>
      <c r="K242" s="31">
        <f t="shared" si="116"/>
      </c>
      <c r="L242" s="28">
        <f t="shared" si="117"/>
      </c>
    </row>
    <row r="243" spans="1:12" ht="12.75">
      <c r="A243" s="6">
        <f t="shared" si="118"/>
        <v>43435</v>
      </c>
      <c r="B243" s="19">
        <f t="shared" si="108"/>
        <v>233</v>
      </c>
      <c r="C243" s="26">
        <f t="shared" si="109"/>
      </c>
      <c r="D243" s="26">
        <f t="shared" si="110"/>
      </c>
      <c r="E243" s="26">
        <f t="shared" si="111"/>
      </c>
      <c r="F243" s="26">
        <f t="shared" si="112"/>
        <v>0</v>
      </c>
      <c r="G243" s="21">
        <f t="shared" si="113"/>
      </c>
      <c r="H243" s="28">
        <f>IF(F242&lt;0.5,"",IF(OR(YEAR(A243)&lt;YEAR(A244),F243&lt;0.5),SUM($G$11:G243)-SUM($H$11:H242),""))</f>
      </c>
      <c r="I243" s="30">
        <f t="shared" si="114"/>
      </c>
      <c r="J243" s="30">
        <f t="shared" si="115"/>
      </c>
      <c r="K243" s="31">
        <f t="shared" si="116"/>
      </c>
      <c r="L243" s="28">
        <f t="shared" si="117"/>
      </c>
    </row>
    <row r="244" spans="1:12" ht="12.75">
      <c r="A244" s="6">
        <f t="shared" si="118"/>
        <v>43466</v>
      </c>
      <c r="B244" s="19">
        <f t="shared" si="108"/>
        <v>234</v>
      </c>
      <c r="C244" s="26">
        <f t="shared" si="109"/>
      </c>
      <c r="D244" s="26">
        <f t="shared" si="110"/>
      </c>
      <c r="E244" s="26">
        <f t="shared" si="111"/>
      </c>
      <c r="F244" s="26">
        <f t="shared" si="112"/>
        <v>0</v>
      </c>
      <c r="G244" s="21">
        <f t="shared" si="113"/>
      </c>
      <c r="H244" s="28">
        <f>IF(F243&lt;0.5,"",IF(OR(YEAR(A244)&lt;YEAR(A245),F244&lt;0.5),SUM($G$11:G244)-SUM($H$11:H243),""))</f>
      </c>
      <c r="I244" s="30">
        <f t="shared" si="114"/>
      </c>
      <c r="J244" s="30">
        <f t="shared" si="115"/>
      </c>
      <c r="K244" s="31">
        <f t="shared" si="116"/>
      </c>
      <c r="L244" s="28">
        <f t="shared" si="117"/>
      </c>
    </row>
    <row r="245" spans="1:12" ht="12.75">
      <c r="A245" s="6">
        <f t="shared" si="118"/>
        <v>43497</v>
      </c>
      <c r="B245" s="19">
        <f t="shared" si="108"/>
        <v>235</v>
      </c>
      <c r="C245" s="26">
        <f t="shared" si="109"/>
      </c>
      <c r="D245" s="26">
        <f t="shared" si="110"/>
      </c>
      <c r="E245" s="26">
        <f t="shared" si="111"/>
      </c>
      <c r="F245" s="26">
        <f t="shared" si="112"/>
        <v>0</v>
      </c>
      <c r="G245" s="21">
        <f t="shared" si="113"/>
      </c>
      <c r="H245" s="28">
        <f>IF(F244&lt;0.5,"",IF(OR(YEAR(A245)&lt;YEAR(A246),F245&lt;0.5),SUM($G$11:G245)-SUM($H$11:H244),""))</f>
      </c>
      <c r="I245" s="30">
        <f t="shared" si="114"/>
      </c>
      <c r="J245" s="30">
        <f t="shared" si="115"/>
      </c>
      <c r="K245" s="31">
        <f t="shared" si="116"/>
      </c>
      <c r="L245" s="28">
        <f t="shared" si="117"/>
      </c>
    </row>
    <row r="246" spans="1:12" ht="12.75">
      <c r="A246" s="6">
        <f t="shared" si="118"/>
        <v>43525</v>
      </c>
      <c r="B246" s="19">
        <f t="shared" si="108"/>
        <v>236</v>
      </c>
      <c r="C246" s="26">
        <f t="shared" si="109"/>
      </c>
      <c r="D246" s="26">
        <f t="shared" si="110"/>
      </c>
      <c r="E246" s="26">
        <f t="shared" si="111"/>
      </c>
      <c r="F246" s="26">
        <f t="shared" si="112"/>
        <v>0</v>
      </c>
      <c r="G246" s="21">
        <f t="shared" si="113"/>
      </c>
      <c r="H246" s="28">
        <f>IF(F245&lt;0.5,"",IF(OR(YEAR(A246)&lt;YEAR(A247),F246&lt;0.5),SUM($G$11:G246)-SUM($H$11:H245),""))</f>
      </c>
      <c r="I246" s="30">
        <f t="shared" si="114"/>
      </c>
      <c r="J246" s="30">
        <f t="shared" si="115"/>
      </c>
      <c r="K246" s="31">
        <f t="shared" si="116"/>
      </c>
      <c r="L246" s="28">
        <f t="shared" si="117"/>
      </c>
    </row>
    <row r="247" spans="1:12" ht="12.75">
      <c r="A247" s="6">
        <f t="shared" si="118"/>
        <v>43556</v>
      </c>
      <c r="B247" s="19">
        <f t="shared" si="108"/>
        <v>237</v>
      </c>
      <c r="C247" s="26">
        <f t="shared" si="109"/>
      </c>
      <c r="D247" s="26">
        <f t="shared" si="110"/>
      </c>
      <c r="E247" s="26">
        <f t="shared" si="111"/>
      </c>
      <c r="F247" s="26">
        <f t="shared" si="112"/>
        <v>0</v>
      </c>
      <c r="G247" s="21">
        <f t="shared" si="113"/>
      </c>
      <c r="H247" s="28">
        <f>IF(F246&lt;0.5,"",IF(OR(YEAR(A247)&lt;YEAR(A248),F247&lt;0.5),SUM($G$11:G247)-SUM($H$11:H246),""))</f>
      </c>
      <c r="I247" s="30">
        <f t="shared" si="114"/>
      </c>
      <c r="J247" s="30">
        <f t="shared" si="115"/>
      </c>
      <c r="K247" s="31">
        <f t="shared" si="116"/>
      </c>
      <c r="L247" s="28">
        <f t="shared" si="117"/>
      </c>
    </row>
    <row r="248" spans="1:12" ht="12.75">
      <c r="A248" s="6">
        <f t="shared" si="118"/>
        <v>43586</v>
      </c>
      <c r="B248" s="19">
        <f t="shared" si="108"/>
        <v>238</v>
      </c>
      <c r="C248" s="26">
        <f t="shared" si="109"/>
      </c>
      <c r="D248" s="26">
        <f t="shared" si="110"/>
      </c>
      <c r="E248" s="26">
        <f t="shared" si="111"/>
      </c>
      <c r="F248" s="26">
        <f t="shared" si="112"/>
        <v>0</v>
      </c>
      <c r="G248" s="21">
        <f t="shared" si="113"/>
      </c>
      <c r="H248" s="28">
        <f>IF(F247&lt;0.5,"",IF(OR(YEAR(A248)&lt;YEAR(A249),F248&lt;0.5),SUM($G$11:G248)-SUM($H$11:H247),""))</f>
      </c>
      <c r="I248" s="30">
        <f t="shared" si="114"/>
      </c>
      <c r="J248" s="30">
        <f t="shared" si="115"/>
      </c>
      <c r="K248" s="31">
        <f t="shared" si="116"/>
      </c>
      <c r="L248" s="28">
        <f t="shared" si="117"/>
      </c>
    </row>
    <row r="249" spans="1:12" ht="12.75">
      <c r="A249" s="6">
        <f t="shared" si="118"/>
        <v>43617</v>
      </c>
      <c r="B249" s="19">
        <f t="shared" si="108"/>
        <v>239</v>
      </c>
      <c r="C249" s="26">
        <f t="shared" si="109"/>
      </c>
      <c r="D249" s="26">
        <f t="shared" si="110"/>
      </c>
      <c r="E249" s="26">
        <f t="shared" si="111"/>
      </c>
      <c r="F249" s="26">
        <f t="shared" si="112"/>
        <v>0</v>
      </c>
      <c r="G249" s="21">
        <f t="shared" si="113"/>
      </c>
      <c r="H249" s="28">
        <f>IF(F248&lt;0.5,"",IF(OR(YEAR(A249)&lt;YEAR(A250),F249&lt;0.5),SUM($G$11:G249)-SUM($H$11:H248),""))</f>
      </c>
      <c r="I249" s="30">
        <f t="shared" si="114"/>
      </c>
      <c r="J249" s="30">
        <f t="shared" si="115"/>
      </c>
      <c r="K249" s="31">
        <f t="shared" si="116"/>
      </c>
      <c r="L249" s="28">
        <f t="shared" si="117"/>
      </c>
    </row>
    <row r="250" spans="1:12" ht="12.75">
      <c r="A250" s="6">
        <f t="shared" si="118"/>
        <v>43647</v>
      </c>
      <c r="B250" s="19">
        <f t="shared" si="108"/>
        <v>240</v>
      </c>
      <c r="C250" s="26">
        <f t="shared" si="109"/>
      </c>
      <c r="D250" s="26">
        <f t="shared" si="110"/>
      </c>
      <c r="E250" s="26">
        <f t="shared" si="111"/>
      </c>
      <c r="F250" s="26">
        <f t="shared" si="112"/>
        <v>0</v>
      </c>
      <c r="G250" s="21">
        <f t="shared" si="113"/>
      </c>
      <c r="H250" s="28">
        <f>IF(F249&lt;0.5,"",IF(OR(YEAR(A250)&lt;YEAR(A251),F250&lt;0.5),SUM($G$11:G250)-SUM($H$11:H249),""))</f>
      </c>
      <c r="I250" s="30">
        <f t="shared" si="114"/>
      </c>
      <c r="J250" s="30">
        <f t="shared" si="115"/>
      </c>
      <c r="K250" s="31">
        <f t="shared" si="116"/>
      </c>
      <c r="L250" s="28">
        <f t="shared" si="117"/>
      </c>
    </row>
    <row r="251" spans="1:12" ht="12.75">
      <c r="A251" s="6">
        <f t="shared" si="118"/>
        <v>43678</v>
      </c>
      <c r="B251" s="19">
        <f t="shared" si="108"/>
        <v>241</v>
      </c>
      <c r="C251" s="26">
        <f t="shared" si="109"/>
      </c>
      <c r="D251" s="26">
        <f t="shared" si="110"/>
      </c>
      <c r="E251" s="26">
        <f t="shared" si="111"/>
      </c>
      <c r="F251" s="26">
        <f t="shared" si="112"/>
        <v>0</v>
      </c>
      <c r="G251" s="21">
        <f t="shared" si="113"/>
      </c>
      <c r="H251" s="28">
        <f>IF(F250&lt;0.5,"",IF(OR(YEAR(A251)&lt;YEAR(A252),F251&lt;0.5),SUM($G$11:G251)-SUM($H$11:H250),""))</f>
      </c>
      <c r="I251" s="30">
        <f t="shared" si="114"/>
      </c>
      <c r="J251" s="30">
        <f t="shared" si="115"/>
      </c>
      <c r="K251" s="31">
        <f t="shared" si="116"/>
      </c>
      <c r="L251" s="28">
        <f t="shared" si="117"/>
      </c>
    </row>
    <row r="252" spans="1:12" ht="12.75">
      <c r="A252" s="6">
        <f t="shared" si="118"/>
        <v>43709</v>
      </c>
      <c r="B252" s="19">
        <f t="shared" si="108"/>
        <v>242</v>
      </c>
      <c r="C252" s="26">
        <f t="shared" si="109"/>
      </c>
      <c r="D252" s="26">
        <f t="shared" si="110"/>
      </c>
      <c r="E252" s="26">
        <f t="shared" si="111"/>
      </c>
      <c r="F252" s="26">
        <f t="shared" si="112"/>
        <v>0</v>
      </c>
      <c r="G252" s="21">
        <f t="shared" si="113"/>
      </c>
      <c r="H252" s="28">
        <f>IF(F251&lt;0.5,"",IF(OR(YEAR(A252)&lt;YEAR(A253),F252&lt;0.5),SUM($G$11:G252)-SUM($H$11:H251),""))</f>
      </c>
      <c r="I252" s="30">
        <f t="shared" si="114"/>
      </c>
      <c r="J252" s="30">
        <f t="shared" si="115"/>
      </c>
      <c r="K252" s="31">
        <f t="shared" si="116"/>
      </c>
      <c r="L252" s="28">
        <f t="shared" si="117"/>
      </c>
    </row>
    <row r="253" spans="1:12" ht="12.75">
      <c r="A253" s="6">
        <f t="shared" si="118"/>
        <v>43739</v>
      </c>
      <c r="B253" s="19">
        <f aca="true" t="shared" si="119" ref="B253:B284">B252+1</f>
        <v>243</v>
      </c>
      <c r="C253" s="26">
        <f aca="true" t="shared" si="120" ref="C253:C284">IF(F252&gt;0.5,C252,"")</f>
      </c>
      <c r="D253" s="26">
        <f aca="true" t="shared" si="121" ref="D253:D284">IF(F252&gt;0.5,$I$3*F252,"")</f>
      </c>
      <c r="E253" s="26">
        <f aca="true" t="shared" si="122" ref="E253:E284">IF(F252&gt;0.5,C253-D253,"")</f>
      </c>
      <c r="F253" s="26">
        <f aca="true" t="shared" si="123" ref="F253:F284">IF(F252&gt;0.5,F252-E253,0)</f>
        <v>0</v>
      </c>
      <c r="G253" s="21">
        <f aca="true" t="shared" si="124" ref="G253:G284">IF(F252&gt;0.5,D253*$I$5,"")</f>
      </c>
      <c r="H253" s="28">
        <f>IF(F252&lt;0.5,"",IF(OR(YEAR(A253)&lt;YEAR(A254),F253&lt;0.5),SUM($G$11:G253)-SUM($H$11:H252),""))</f>
      </c>
      <c r="I253" s="30">
        <f aca="true" t="shared" si="125" ref="I253:I284">IF(F252&gt;0.5,I252+D253,"")</f>
      </c>
      <c r="J253" s="30">
        <f aca="true" t="shared" si="126" ref="J253:J284">IF(F252&gt;0.5,J252+E253,"")</f>
      </c>
      <c r="K253" s="31">
        <f aca="true" t="shared" si="127" ref="K253:K284">IF(F252&gt;0.5,C253/(1+$I$4)^B253+K252,"")</f>
      </c>
      <c r="L253" s="28">
        <f aca="true" t="shared" si="128" ref="L253:L284">IF(F252&lt;0.5,"",IF(H253="",L252,H253/(1+$I$4)^B253+L252))</f>
      </c>
    </row>
    <row r="254" spans="1:12" ht="12.75">
      <c r="A254" s="6">
        <f t="shared" si="118"/>
        <v>43770</v>
      </c>
      <c r="B254" s="19">
        <f t="shared" si="119"/>
        <v>244</v>
      </c>
      <c r="C254" s="26">
        <f t="shared" si="120"/>
      </c>
      <c r="D254" s="26">
        <f t="shared" si="121"/>
      </c>
      <c r="E254" s="26">
        <f t="shared" si="122"/>
      </c>
      <c r="F254" s="26">
        <f t="shared" si="123"/>
        <v>0</v>
      </c>
      <c r="G254" s="21">
        <f t="shared" si="124"/>
      </c>
      <c r="H254" s="28">
        <f>IF(F253&lt;0.5,"",IF(OR(YEAR(A254)&lt;YEAR(A255),F254&lt;0.5),SUM($G$11:G254)-SUM($H$11:H253),""))</f>
      </c>
      <c r="I254" s="30">
        <f t="shared" si="125"/>
      </c>
      <c r="J254" s="30">
        <f t="shared" si="126"/>
      </c>
      <c r="K254" s="31">
        <f t="shared" si="127"/>
      </c>
      <c r="L254" s="28">
        <f t="shared" si="128"/>
      </c>
    </row>
    <row r="255" spans="1:12" ht="12.75">
      <c r="A255" s="6">
        <f t="shared" si="118"/>
        <v>43800</v>
      </c>
      <c r="B255" s="19">
        <f t="shared" si="119"/>
        <v>245</v>
      </c>
      <c r="C255" s="26">
        <f t="shared" si="120"/>
      </c>
      <c r="D255" s="26">
        <f t="shared" si="121"/>
      </c>
      <c r="E255" s="26">
        <f t="shared" si="122"/>
      </c>
      <c r="F255" s="26">
        <f t="shared" si="123"/>
        <v>0</v>
      </c>
      <c r="G255" s="21">
        <f t="shared" si="124"/>
      </c>
      <c r="H255" s="28">
        <f>IF(F254&lt;0.5,"",IF(OR(YEAR(A255)&lt;YEAR(A256),F255&lt;0.5),SUM($G$11:G255)-SUM($H$11:H254),""))</f>
      </c>
      <c r="I255" s="30">
        <f t="shared" si="125"/>
      </c>
      <c r="J255" s="30">
        <f t="shared" si="126"/>
      </c>
      <c r="K255" s="31">
        <f t="shared" si="127"/>
      </c>
      <c r="L255" s="28">
        <f t="shared" si="128"/>
      </c>
    </row>
    <row r="256" spans="1:12" ht="12.75">
      <c r="A256" s="6">
        <f t="shared" si="118"/>
        <v>43831</v>
      </c>
      <c r="B256" s="19">
        <f t="shared" si="119"/>
        <v>246</v>
      </c>
      <c r="C256" s="26">
        <f t="shared" si="120"/>
      </c>
      <c r="D256" s="26">
        <f t="shared" si="121"/>
      </c>
      <c r="E256" s="26">
        <f t="shared" si="122"/>
      </c>
      <c r="F256" s="26">
        <f t="shared" si="123"/>
        <v>0</v>
      </c>
      <c r="G256" s="21">
        <f t="shared" si="124"/>
      </c>
      <c r="H256" s="28">
        <f>IF(F255&lt;0.5,"",IF(OR(YEAR(A256)&lt;YEAR(A257),F256&lt;0.5),SUM($G$11:G256)-SUM($H$11:H255),""))</f>
      </c>
      <c r="I256" s="30">
        <f t="shared" si="125"/>
      </c>
      <c r="J256" s="30">
        <f t="shared" si="126"/>
      </c>
      <c r="K256" s="31">
        <f t="shared" si="127"/>
      </c>
      <c r="L256" s="28">
        <f t="shared" si="128"/>
      </c>
    </row>
    <row r="257" spans="1:12" ht="12.75">
      <c r="A257" s="6">
        <f t="shared" si="118"/>
        <v>43862</v>
      </c>
      <c r="B257" s="19">
        <f t="shared" si="119"/>
        <v>247</v>
      </c>
      <c r="C257" s="26">
        <f t="shared" si="120"/>
      </c>
      <c r="D257" s="26">
        <f t="shared" si="121"/>
      </c>
      <c r="E257" s="26">
        <f t="shared" si="122"/>
      </c>
      <c r="F257" s="26">
        <f t="shared" si="123"/>
        <v>0</v>
      </c>
      <c r="G257" s="21">
        <f t="shared" si="124"/>
      </c>
      <c r="H257" s="28">
        <f>IF(F256&lt;0.5,"",IF(OR(YEAR(A257)&lt;YEAR(A258),F257&lt;0.5),SUM($G$11:G257)-SUM($H$11:H256),""))</f>
      </c>
      <c r="I257" s="30">
        <f t="shared" si="125"/>
      </c>
      <c r="J257" s="30">
        <f t="shared" si="126"/>
      </c>
      <c r="K257" s="31">
        <f t="shared" si="127"/>
      </c>
      <c r="L257" s="28">
        <f t="shared" si="128"/>
      </c>
    </row>
    <row r="258" spans="1:12" ht="12.75">
      <c r="A258" s="6">
        <f t="shared" si="118"/>
        <v>43891</v>
      </c>
      <c r="B258" s="19">
        <f t="shared" si="119"/>
        <v>248</v>
      </c>
      <c r="C258" s="26">
        <f t="shared" si="120"/>
      </c>
      <c r="D258" s="26">
        <f t="shared" si="121"/>
      </c>
      <c r="E258" s="26">
        <f t="shared" si="122"/>
      </c>
      <c r="F258" s="26">
        <f t="shared" si="123"/>
        <v>0</v>
      </c>
      <c r="G258" s="21">
        <f t="shared" si="124"/>
      </c>
      <c r="H258" s="28">
        <f>IF(F257&lt;0.5,"",IF(OR(YEAR(A258)&lt;YEAR(A259),F258&lt;0.5),SUM($G$11:G258)-SUM($H$11:H257),""))</f>
      </c>
      <c r="I258" s="30">
        <f t="shared" si="125"/>
      </c>
      <c r="J258" s="30">
        <f t="shared" si="126"/>
      </c>
      <c r="K258" s="31">
        <f t="shared" si="127"/>
      </c>
      <c r="L258" s="28">
        <f t="shared" si="128"/>
      </c>
    </row>
    <row r="259" spans="1:12" ht="12.75">
      <c r="A259" s="6">
        <f t="shared" si="118"/>
        <v>43922</v>
      </c>
      <c r="B259" s="19">
        <f t="shared" si="119"/>
        <v>249</v>
      </c>
      <c r="C259" s="26">
        <f t="shared" si="120"/>
      </c>
      <c r="D259" s="26">
        <f t="shared" si="121"/>
      </c>
      <c r="E259" s="26">
        <f t="shared" si="122"/>
      </c>
      <c r="F259" s="26">
        <f t="shared" si="123"/>
        <v>0</v>
      </c>
      <c r="G259" s="21">
        <f t="shared" si="124"/>
      </c>
      <c r="H259" s="28">
        <f>IF(F258&lt;0.5,"",IF(OR(YEAR(A259)&lt;YEAR(A260),F259&lt;0.5),SUM($G$11:G259)-SUM($H$11:H258),""))</f>
      </c>
      <c r="I259" s="30">
        <f t="shared" si="125"/>
      </c>
      <c r="J259" s="30">
        <f t="shared" si="126"/>
      </c>
      <c r="K259" s="31">
        <f t="shared" si="127"/>
      </c>
      <c r="L259" s="28">
        <f t="shared" si="128"/>
      </c>
    </row>
    <row r="260" spans="1:12" ht="12.75">
      <c r="A260" s="6">
        <f t="shared" si="118"/>
        <v>43952</v>
      </c>
      <c r="B260" s="19">
        <f t="shared" si="119"/>
        <v>250</v>
      </c>
      <c r="C260" s="26">
        <f t="shared" si="120"/>
      </c>
      <c r="D260" s="26">
        <f t="shared" si="121"/>
      </c>
      <c r="E260" s="26">
        <f t="shared" si="122"/>
      </c>
      <c r="F260" s="26">
        <f t="shared" si="123"/>
        <v>0</v>
      </c>
      <c r="G260" s="21">
        <f t="shared" si="124"/>
      </c>
      <c r="H260" s="28">
        <f>IF(F259&lt;0.5,"",IF(OR(YEAR(A260)&lt;YEAR(A261),F260&lt;0.5),SUM($G$11:G260)-SUM($H$11:H259),""))</f>
      </c>
      <c r="I260" s="30">
        <f t="shared" si="125"/>
      </c>
      <c r="J260" s="30">
        <f t="shared" si="126"/>
      </c>
      <c r="K260" s="31">
        <f t="shared" si="127"/>
      </c>
      <c r="L260" s="28">
        <f t="shared" si="128"/>
      </c>
    </row>
    <row r="261" spans="1:12" ht="12.75">
      <c r="A261" s="6">
        <f t="shared" si="118"/>
        <v>43983</v>
      </c>
      <c r="B261" s="19">
        <f t="shared" si="119"/>
        <v>251</v>
      </c>
      <c r="C261" s="26">
        <f t="shared" si="120"/>
      </c>
      <c r="D261" s="26">
        <f t="shared" si="121"/>
      </c>
      <c r="E261" s="26">
        <f t="shared" si="122"/>
      </c>
      <c r="F261" s="26">
        <f t="shared" si="123"/>
        <v>0</v>
      </c>
      <c r="G261" s="21">
        <f t="shared" si="124"/>
      </c>
      <c r="H261" s="28">
        <f>IF(F260&lt;0.5,"",IF(OR(YEAR(A261)&lt;YEAR(A262),F261&lt;0.5),SUM($G$11:G261)-SUM($H$11:H260),""))</f>
      </c>
      <c r="I261" s="30">
        <f t="shared" si="125"/>
      </c>
      <c r="J261" s="30">
        <f t="shared" si="126"/>
      </c>
      <c r="K261" s="31">
        <f t="shared" si="127"/>
      </c>
      <c r="L261" s="28">
        <f t="shared" si="128"/>
      </c>
    </row>
    <row r="262" spans="1:12" ht="12.75">
      <c r="A262" s="6">
        <f t="shared" si="118"/>
        <v>44013</v>
      </c>
      <c r="B262" s="19">
        <f t="shared" si="119"/>
        <v>252</v>
      </c>
      <c r="C262" s="26">
        <f t="shared" si="120"/>
      </c>
      <c r="D262" s="26">
        <f t="shared" si="121"/>
      </c>
      <c r="E262" s="26">
        <f t="shared" si="122"/>
      </c>
      <c r="F262" s="26">
        <f t="shared" si="123"/>
        <v>0</v>
      </c>
      <c r="G262" s="21">
        <f t="shared" si="124"/>
      </c>
      <c r="H262" s="28">
        <f>IF(F261&lt;0.5,"",IF(OR(YEAR(A262)&lt;YEAR(A263),F262&lt;0.5),SUM($G$11:G262)-SUM($H$11:H261),""))</f>
      </c>
      <c r="I262" s="30">
        <f t="shared" si="125"/>
      </c>
      <c r="J262" s="30">
        <f t="shared" si="126"/>
      </c>
      <c r="K262" s="31">
        <f t="shared" si="127"/>
      </c>
      <c r="L262" s="28">
        <f t="shared" si="128"/>
      </c>
    </row>
    <row r="263" spans="1:12" ht="12.75">
      <c r="A263" s="6">
        <f t="shared" si="118"/>
        <v>44044</v>
      </c>
      <c r="B263" s="19">
        <f t="shared" si="119"/>
        <v>253</v>
      </c>
      <c r="C263" s="26">
        <f t="shared" si="120"/>
      </c>
      <c r="D263" s="26">
        <f t="shared" si="121"/>
      </c>
      <c r="E263" s="26">
        <f t="shared" si="122"/>
      </c>
      <c r="F263" s="26">
        <f t="shared" si="123"/>
        <v>0</v>
      </c>
      <c r="G263" s="21">
        <f t="shared" si="124"/>
      </c>
      <c r="H263" s="28">
        <f>IF(F262&lt;0.5,"",IF(OR(YEAR(A263)&lt;YEAR(A264),F263&lt;0.5),SUM($G$11:G263)-SUM($H$11:H262),""))</f>
      </c>
      <c r="I263" s="30">
        <f t="shared" si="125"/>
      </c>
      <c r="J263" s="30">
        <f t="shared" si="126"/>
      </c>
      <c r="K263" s="31">
        <f t="shared" si="127"/>
      </c>
      <c r="L263" s="28">
        <f t="shared" si="128"/>
      </c>
    </row>
    <row r="264" spans="1:12" ht="12.75">
      <c r="A264" s="6">
        <f t="shared" si="118"/>
        <v>44075</v>
      </c>
      <c r="B264" s="19">
        <f t="shared" si="119"/>
        <v>254</v>
      </c>
      <c r="C264" s="26">
        <f t="shared" si="120"/>
      </c>
      <c r="D264" s="26">
        <f t="shared" si="121"/>
      </c>
      <c r="E264" s="26">
        <f t="shared" si="122"/>
      </c>
      <c r="F264" s="26">
        <f t="shared" si="123"/>
        <v>0</v>
      </c>
      <c r="G264" s="21">
        <f t="shared" si="124"/>
      </c>
      <c r="H264" s="28">
        <f>IF(F263&lt;0.5,"",IF(OR(YEAR(A264)&lt;YEAR(A265),F264&lt;0.5),SUM($G$11:G264)-SUM($H$11:H263),""))</f>
      </c>
      <c r="I264" s="30">
        <f t="shared" si="125"/>
      </c>
      <c r="J264" s="30">
        <f t="shared" si="126"/>
      </c>
      <c r="K264" s="31">
        <f t="shared" si="127"/>
      </c>
      <c r="L264" s="28">
        <f t="shared" si="128"/>
      </c>
    </row>
    <row r="265" spans="1:12" ht="12.75">
      <c r="A265" s="6">
        <f t="shared" si="118"/>
        <v>44105</v>
      </c>
      <c r="B265" s="19">
        <f t="shared" si="119"/>
        <v>255</v>
      </c>
      <c r="C265" s="26">
        <f t="shared" si="120"/>
      </c>
      <c r="D265" s="26">
        <f t="shared" si="121"/>
      </c>
      <c r="E265" s="26">
        <f t="shared" si="122"/>
      </c>
      <c r="F265" s="26">
        <f t="shared" si="123"/>
        <v>0</v>
      </c>
      <c r="G265" s="21">
        <f t="shared" si="124"/>
      </c>
      <c r="H265" s="28">
        <f>IF(F264&lt;0.5,"",IF(OR(YEAR(A265)&lt;YEAR(A266),F265&lt;0.5),SUM($G$11:G265)-SUM($H$11:H264),""))</f>
      </c>
      <c r="I265" s="30">
        <f t="shared" si="125"/>
      </c>
      <c r="J265" s="30">
        <f t="shared" si="126"/>
      </c>
      <c r="K265" s="31">
        <f t="shared" si="127"/>
      </c>
      <c r="L265" s="28">
        <f t="shared" si="128"/>
      </c>
    </row>
    <row r="266" spans="1:12" ht="12.75">
      <c r="A266" s="6">
        <f t="shared" si="118"/>
        <v>44136</v>
      </c>
      <c r="B266" s="19">
        <f t="shared" si="119"/>
        <v>256</v>
      </c>
      <c r="C266" s="26">
        <f t="shared" si="120"/>
      </c>
      <c r="D266" s="26">
        <f t="shared" si="121"/>
      </c>
      <c r="E266" s="26">
        <f t="shared" si="122"/>
      </c>
      <c r="F266" s="26">
        <f t="shared" si="123"/>
        <v>0</v>
      </c>
      <c r="G266" s="21">
        <f t="shared" si="124"/>
      </c>
      <c r="H266" s="28">
        <f>IF(F265&lt;0.5,"",IF(OR(YEAR(A266)&lt;YEAR(A267),F266&lt;0.5),SUM($G$11:G266)-SUM($H$11:H265),""))</f>
      </c>
      <c r="I266" s="30">
        <f t="shared" si="125"/>
      </c>
      <c r="J266" s="30">
        <f t="shared" si="126"/>
      </c>
      <c r="K266" s="31">
        <f t="shared" si="127"/>
      </c>
      <c r="L266" s="28">
        <f t="shared" si="128"/>
      </c>
    </row>
    <row r="267" spans="1:12" ht="12.75">
      <c r="A267" s="6">
        <f t="shared" si="118"/>
        <v>44166</v>
      </c>
      <c r="B267" s="19">
        <f t="shared" si="119"/>
        <v>257</v>
      </c>
      <c r="C267" s="26">
        <f t="shared" si="120"/>
      </c>
      <c r="D267" s="26">
        <f t="shared" si="121"/>
      </c>
      <c r="E267" s="26">
        <f t="shared" si="122"/>
      </c>
      <c r="F267" s="26">
        <f t="shared" si="123"/>
        <v>0</v>
      </c>
      <c r="G267" s="21">
        <f t="shared" si="124"/>
      </c>
      <c r="H267" s="28">
        <f>IF(F266&lt;0.5,"",IF(OR(YEAR(A267)&lt;YEAR(A268),F267&lt;0.5),SUM($G$11:G267)-SUM($H$11:H266),""))</f>
      </c>
      <c r="I267" s="30">
        <f t="shared" si="125"/>
      </c>
      <c r="J267" s="30">
        <f t="shared" si="126"/>
      </c>
      <c r="K267" s="31">
        <f t="shared" si="127"/>
      </c>
      <c r="L267" s="28">
        <f t="shared" si="128"/>
      </c>
    </row>
    <row r="268" spans="1:12" ht="12.75">
      <c r="A268" s="6">
        <f t="shared" si="118"/>
        <v>44197</v>
      </c>
      <c r="B268" s="19">
        <f t="shared" si="119"/>
        <v>258</v>
      </c>
      <c r="C268" s="26">
        <f t="shared" si="120"/>
      </c>
      <c r="D268" s="26">
        <f t="shared" si="121"/>
      </c>
      <c r="E268" s="26">
        <f t="shared" si="122"/>
      </c>
      <c r="F268" s="26">
        <f t="shared" si="123"/>
        <v>0</v>
      </c>
      <c r="G268" s="21">
        <f t="shared" si="124"/>
      </c>
      <c r="H268" s="28">
        <f>IF(F267&lt;0.5,"",IF(OR(YEAR(A268)&lt;YEAR(A269),F268&lt;0.5),SUM($G$11:G268)-SUM($H$11:H267),""))</f>
      </c>
      <c r="I268" s="30">
        <f t="shared" si="125"/>
      </c>
      <c r="J268" s="30">
        <f t="shared" si="126"/>
      </c>
      <c r="K268" s="31">
        <f t="shared" si="127"/>
      </c>
      <c r="L268" s="28">
        <f t="shared" si="128"/>
      </c>
    </row>
    <row r="269" spans="1:12" ht="12.75">
      <c r="A269" s="6">
        <f aca="true" t="shared" si="129" ref="A269:A332">IF($C$6&lt;27,DATE((YEAR(A268)-1900),MONTH(A268)+1,$C$6),DATE((YEAR(A268)-1900),MONTH(A268)+2,1)-1)</f>
        <v>44228</v>
      </c>
      <c r="B269" s="19">
        <f t="shared" si="119"/>
        <v>259</v>
      </c>
      <c r="C269" s="26">
        <f t="shared" si="120"/>
      </c>
      <c r="D269" s="26">
        <f t="shared" si="121"/>
      </c>
      <c r="E269" s="26">
        <f t="shared" si="122"/>
      </c>
      <c r="F269" s="26">
        <f t="shared" si="123"/>
        <v>0</v>
      </c>
      <c r="G269" s="21">
        <f t="shared" si="124"/>
      </c>
      <c r="H269" s="28">
        <f>IF(F268&lt;0.5,"",IF(OR(YEAR(A269)&lt;YEAR(A270),F269&lt;0.5),SUM($G$11:G269)-SUM($H$11:H268),""))</f>
      </c>
      <c r="I269" s="30">
        <f t="shared" si="125"/>
      </c>
      <c r="J269" s="30">
        <f t="shared" si="126"/>
      </c>
      <c r="K269" s="31">
        <f t="shared" si="127"/>
      </c>
      <c r="L269" s="28">
        <f t="shared" si="128"/>
      </c>
    </row>
    <row r="270" spans="1:12" ht="12.75">
      <c r="A270" s="6">
        <f t="shared" si="129"/>
        <v>44256</v>
      </c>
      <c r="B270" s="19">
        <f t="shared" si="119"/>
        <v>260</v>
      </c>
      <c r="C270" s="26">
        <f t="shared" si="120"/>
      </c>
      <c r="D270" s="26">
        <f t="shared" si="121"/>
      </c>
      <c r="E270" s="26">
        <f t="shared" si="122"/>
      </c>
      <c r="F270" s="26">
        <f t="shared" si="123"/>
        <v>0</v>
      </c>
      <c r="G270" s="21">
        <f t="shared" si="124"/>
      </c>
      <c r="H270" s="28">
        <f>IF(F269&lt;0.5,"",IF(OR(YEAR(A270)&lt;YEAR(A271),F270&lt;0.5),SUM($G$11:G270)-SUM($H$11:H269),""))</f>
      </c>
      <c r="I270" s="30">
        <f t="shared" si="125"/>
      </c>
      <c r="J270" s="30">
        <f t="shared" si="126"/>
      </c>
      <c r="K270" s="31">
        <f t="shared" si="127"/>
      </c>
      <c r="L270" s="28">
        <f t="shared" si="128"/>
      </c>
    </row>
    <row r="271" spans="1:12" ht="12.75">
      <c r="A271" s="6">
        <f t="shared" si="129"/>
        <v>44287</v>
      </c>
      <c r="B271" s="19">
        <f t="shared" si="119"/>
        <v>261</v>
      </c>
      <c r="C271" s="26">
        <f t="shared" si="120"/>
      </c>
      <c r="D271" s="26">
        <f t="shared" si="121"/>
      </c>
      <c r="E271" s="26">
        <f t="shared" si="122"/>
      </c>
      <c r="F271" s="26">
        <f t="shared" si="123"/>
        <v>0</v>
      </c>
      <c r="G271" s="21">
        <f t="shared" si="124"/>
      </c>
      <c r="H271" s="28">
        <f>IF(F270&lt;0.5,"",IF(OR(YEAR(A271)&lt;YEAR(A272),F271&lt;0.5),SUM($G$11:G271)-SUM($H$11:H270),""))</f>
      </c>
      <c r="I271" s="30">
        <f t="shared" si="125"/>
      </c>
      <c r="J271" s="30">
        <f t="shared" si="126"/>
      </c>
      <c r="K271" s="31">
        <f t="shared" si="127"/>
      </c>
      <c r="L271" s="28">
        <f t="shared" si="128"/>
      </c>
    </row>
    <row r="272" spans="1:12" ht="12.75">
      <c r="A272" s="6">
        <f t="shared" si="129"/>
        <v>44317</v>
      </c>
      <c r="B272" s="19">
        <f t="shared" si="119"/>
        <v>262</v>
      </c>
      <c r="C272" s="26">
        <f t="shared" si="120"/>
      </c>
      <c r="D272" s="26">
        <f t="shared" si="121"/>
      </c>
      <c r="E272" s="26">
        <f t="shared" si="122"/>
      </c>
      <c r="F272" s="26">
        <f t="shared" si="123"/>
        <v>0</v>
      </c>
      <c r="G272" s="21">
        <f t="shared" si="124"/>
      </c>
      <c r="H272" s="28">
        <f>IF(F271&lt;0.5,"",IF(OR(YEAR(A272)&lt;YEAR(A273),F272&lt;0.5),SUM($G$11:G272)-SUM($H$11:H271),""))</f>
      </c>
      <c r="I272" s="30">
        <f t="shared" si="125"/>
      </c>
      <c r="J272" s="30">
        <f t="shared" si="126"/>
      </c>
      <c r="K272" s="31">
        <f t="shared" si="127"/>
      </c>
      <c r="L272" s="28">
        <f t="shared" si="128"/>
      </c>
    </row>
    <row r="273" spans="1:12" ht="12.75">
      <c r="A273" s="6">
        <f t="shared" si="129"/>
        <v>44348</v>
      </c>
      <c r="B273" s="19">
        <f t="shared" si="119"/>
        <v>263</v>
      </c>
      <c r="C273" s="26">
        <f t="shared" si="120"/>
      </c>
      <c r="D273" s="26">
        <f t="shared" si="121"/>
      </c>
      <c r="E273" s="26">
        <f t="shared" si="122"/>
      </c>
      <c r="F273" s="26">
        <f t="shared" si="123"/>
        <v>0</v>
      </c>
      <c r="G273" s="21">
        <f t="shared" si="124"/>
      </c>
      <c r="H273" s="28">
        <f>IF(F272&lt;0.5,"",IF(OR(YEAR(A273)&lt;YEAR(A274),F273&lt;0.5),SUM($G$11:G273)-SUM($H$11:H272),""))</f>
      </c>
      <c r="I273" s="30">
        <f t="shared" si="125"/>
      </c>
      <c r="J273" s="30">
        <f t="shared" si="126"/>
      </c>
      <c r="K273" s="31">
        <f t="shared" si="127"/>
      </c>
      <c r="L273" s="28">
        <f t="shared" si="128"/>
      </c>
    </row>
    <row r="274" spans="1:12" ht="12.75">
      <c r="A274" s="6">
        <f t="shared" si="129"/>
        <v>44378</v>
      </c>
      <c r="B274" s="19">
        <f t="shared" si="119"/>
        <v>264</v>
      </c>
      <c r="C274" s="26">
        <f t="shared" si="120"/>
      </c>
      <c r="D274" s="26">
        <f t="shared" si="121"/>
      </c>
      <c r="E274" s="26">
        <f t="shared" si="122"/>
      </c>
      <c r="F274" s="26">
        <f t="shared" si="123"/>
        <v>0</v>
      </c>
      <c r="G274" s="21">
        <f t="shared" si="124"/>
      </c>
      <c r="H274" s="28">
        <f>IF(F273&lt;0.5,"",IF(OR(YEAR(A274)&lt;YEAR(A275),F274&lt;0.5),SUM($G$11:G274)-SUM($H$11:H273),""))</f>
      </c>
      <c r="I274" s="30">
        <f t="shared" si="125"/>
      </c>
      <c r="J274" s="30">
        <f t="shared" si="126"/>
      </c>
      <c r="K274" s="31">
        <f t="shared" si="127"/>
      </c>
      <c r="L274" s="28">
        <f t="shared" si="128"/>
      </c>
    </row>
    <row r="275" spans="1:12" ht="12.75">
      <c r="A275" s="6">
        <f t="shared" si="129"/>
        <v>44409</v>
      </c>
      <c r="B275" s="19">
        <f t="shared" si="119"/>
        <v>265</v>
      </c>
      <c r="C275" s="26">
        <f t="shared" si="120"/>
      </c>
      <c r="D275" s="26">
        <f t="shared" si="121"/>
      </c>
      <c r="E275" s="26">
        <f t="shared" si="122"/>
      </c>
      <c r="F275" s="26">
        <f t="shared" si="123"/>
        <v>0</v>
      </c>
      <c r="G275" s="21">
        <f t="shared" si="124"/>
      </c>
      <c r="H275" s="28">
        <f>IF(F274&lt;0.5,"",IF(OR(YEAR(A275)&lt;YEAR(A276),F275&lt;0.5),SUM($G$11:G275)-SUM($H$11:H274),""))</f>
      </c>
      <c r="I275" s="30">
        <f t="shared" si="125"/>
      </c>
      <c r="J275" s="30">
        <f t="shared" si="126"/>
      </c>
      <c r="K275" s="31">
        <f t="shared" si="127"/>
      </c>
      <c r="L275" s="28">
        <f t="shared" si="128"/>
      </c>
    </row>
    <row r="276" spans="1:12" ht="12.75">
      <c r="A276" s="6">
        <f t="shared" si="129"/>
        <v>44440</v>
      </c>
      <c r="B276" s="19">
        <f t="shared" si="119"/>
        <v>266</v>
      </c>
      <c r="C276" s="26">
        <f t="shared" si="120"/>
      </c>
      <c r="D276" s="26">
        <f t="shared" si="121"/>
      </c>
      <c r="E276" s="26">
        <f t="shared" si="122"/>
      </c>
      <c r="F276" s="26">
        <f t="shared" si="123"/>
        <v>0</v>
      </c>
      <c r="G276" s="21">
        <f t="shared" si="124"/>
      </c>
      <c r="H276" s="28">
        <f>IF(F275&lt;0.5,"",IF(OR(YEAR(A276)&lt;YEAR(A277),F276&lt;0.5),SUM($G$11:G276)-SUM($H$11:H275),""))</f>
      </c>
      <c r="I276" s="30">
        <f t="shared" si="125"/>
      </c>
      <c r="J276" s="30">
        <f t="shared" si="126"/>
      </c>
      <c r="K276" s="31">
        <f t="shared" si="127"/>
      </c>
      <c r="L276" s="28">
        <f t="shared" si="128"/>
      </c>
    </row>
    <row r="277" spans="1:12" ht="12.75">
      <c r="A277" s="6">
        <f t="shared" si="129"/>
        <v>44470</v>
      </c>
      <c r="B277" s="19">
        <f t="shared" si="119"/>
        <v>267</v>
      </c>
      <c r="C277" s="26">
        <f t="shared" si="120"/>
      </c>
      <c r="D277" s="26">
        <f t="shared" si="121"/>
      </c>
      <c r="E277" s="26">
        <f t="shared" si="122"/>
      </c>
      <c r="F277" s="26">
        <f t="shared" si="123"/>
        <v>0</v>
      </c>
      <c r="G277" s="21">
        <f t="shared" si="124"/>
      </c>
      <c r="H277" s="28">
        <f>IF(F276&lt;0.5,"",IF(OR(YEAR(A277)&lt;YEAR(A278),F277&lt;0.5),SUM($G$11:G277)-SUM($H$11:H276),""))</f>
      </c>
      <c r="I277" s="30">
        <f t="shared" si="125"/>
      </c>
      <c r="J277" s="30">
        <f t="shared" si="126"/>
      </c>
      <c r="K277" s="31">
        <f t="shared" si="127"/>
      </c>
      <c r="L277" s="28">
        <f t="shared" si="128"/>
      </c>
    </row>
    <row r="278" spans="1:12" ht="12.75">
      <c r="A278" s="6">
        <f t="shared" si="129"/>
        <v>44501</v>
      </c>
      <c r="B278" s="19">
        <f t="shared" si="119"/>
        <v>268</v>
      </c>
      <c r="C278" s="26">
        <f t="shared" si="120"/>
      </c>
      <c r="D278" s="26">
        <f t="shared" si="121"/>
      </c>
      <c r="E278" s="26">
        <f t="shared" si="122"/>
      </c>
      <c r="F278" s="26">
        <f t="shared" si="123"/>
        <v>0</v>
      </c>
      <c r="G278" s="21">
        <f t="shared" si="124"/>
      </c>
      <c r="H278" s="28">
        <f>IF(F277&lt;0.5,"",IF(OR(YEAR(A278)&lt;YEAR(A279),F278&lt;0.5),SUM($G$11:G278)-SUM($H$11:H277),""))</f>
      </c>
      <c r="I278" s="30">
        <f t="shared" si="125"/>
      </c>
      <c r="J278" s="30">
        <f t="shared" si="126"/>
      </c>
      <c r="K278" s="31">
        <f t="shared" si="127"/>
      </c>
      <c r="L278" s="28">
        <f t="shared" si="128"/>
      </c>
    </row>
    <row r="279" spans="1:12" ht="12.75">
      <c r="A279" s="6">
        <f t="shared" si="129"/>
        <v>44531</v>
      </c>
      <c r="B279" s="19">
        <f t="shared" si="119"/>
        <v>269</v>
      </c>
      <c r="C279" s="26">
        <f t="shared" si="120"/>
      </c>
      <c r="D279" s="26">
        <f t="shared" si="121"/>
      </c>
      <c r="E279" s="26">
        <f t="shared" si="122"/>
      </c>
      <c r="F279" s="26">
        <f t="shared" si="123"/>
        <v>0</v>
      </c>
      <c r="G279" s="21">
        <f t="shared" si="124"/>
      </c>
      <c r="H279" s="28">
        <f>IF(F278&lt;0.5,"",IF(OR(YEAR(A279)&lt;YEAR(A280),F279&lt;0.5),SUM($G$11:G279)-SUM($H$11:H278),""))</f>
      </c>
      <c r="I279" s="30">
        <f t="shared" si="125"/>
      </c>
      <c r="J279" s="30">
        <f t="shared" si="126"/>
      </c>
      <c r="K279" s="31">
        <f t="shared" si="127"/>
      </c>
      <c r="L279" s="28">
        <f t="shared" si="128"/>
      </c>
    </row>
    <row r="280" spans="1:12" ht="12.75">
      <c r="A280" s="6">
        <f t="shared" si="129"/>
        <v>44562</v>
      </c>
      <c r="B280" s="19">
        <f t="shared" si="119"/>
        <v>270</v>
      </c>
      <c r="C280" s="26">
        <f t="shared" si="120"/>
      </c>
      <c r="D280" s="26">
        <f t="shared" si="121"/>
      </c>
      <c r="E280" s="26">
        <f t="shared" si="122"/>
      </c>
      <c r="F280" s="26">
        <f t="shared" si="123"/>
        <v>0</v>
      </c>
      <c r="G280" s="21">
        <f t="shared" si="124"/>
      </c>
      <c r="H280" s="28">
        <f>IF(F279&lt;0.5,"",IF(OR(YEAR(A280)&lt;YEAR(A281),F280&lt;0.5),SUM($G$11:G280)-SUM($H$11:H279),""))</f>
      </c>
      <c r="I280" s="30">
        <f t="shared" si="125"/>
      </c>
      <c r="J280" s="30">
        <f t="shared" si="126"/>
      </c>
      <c r="K280" s="31">
        <f t="shared" si="127"/>
      </c>
      <c r="L280" s="28">
        <f t="shared" si="128"/>
      </c>
    </row>
    <row r="281" spans="1:12" ht="12.75">
      <c r="A281" s="6">
        <f t="shared" si="129"/>
        <v>44593</v>
      </c>
      <c r="B281" s="19">
        <f t="shared" si="119"/>
        <v>271</v>
      </c>
      <c r="C281" s="26">
        <f t="shared" si="120"/>
      </c>
      <c r="D281" s="26">
        <f t="shared" si="121"/>
      </c>
      <c r="E281" s="26">
        <f t="shared" si="122"/>
      </c>
      <c r="F281" s="26">
        <f t="shared" si="123"/>
        <v>0</v>
      </c>
      <c r="G281" s="21">
        <f t="shared" si="124"/>
      </c>
      <c r="H281" s="28">
        <f>IF(F280&lt;0.5,"",IF(OR(YEAR(A281)&lt;YEAR(A282),F281&lt;0.5),SUM($G$11:G281)-SUM($H$11:H280),""))</f>
      </c>
      <c r="I281" s="30">
        <f t="shared" si="125"/>
      </c>
      <c r="J281" s="30">
        <f t="shared" si="126"/>
      </c>
      <c r="K281" s="31">
        <f t="shared" si="127"/>
      </c>
      <c r="L281" s="28">
        <f t="shared" si="128"/>
      </c>
    </row>
    <row r="282" spans="1:12" ht="12.75">
      <c r="A282" s="6">
        <f t="shared" si="129"/>
        <v>44621</v>
      </c>
      <c r="B282" s="19">
        <f t="shared" si="119"/>
        <v>272</v>
      </c>
      <c r="C282" s="26">
        <f t="shared" si="120"/>
      </c>
      <c r="D282" s="26">
        <f t="shared" si="121"/>
      </c>
      <c r="E282" s="26">
        <f t="shared" si="122"/>
      </c>
      <c r="F282" s="26">
        <f t="shared" si="123"/>
        <v>0</v>
      </c>
      <c r="G282" s="21">
        <f t="shared" si="124"/>
      </c>
      <c r="H282" s="28">
        <f>IF(F281&lt;0.5,"",IF(OR(YEAR(A282)&lt;YEAR(A283),F282&lt;0.5),SUM($G$11:G282)-SUM($H$11:H281),""))</f>
      </c>
      <c r="I282" s="30">
        <f t="shared" si="125"/>
      </c>
      <c r="J282" s="30">
        <f t="shared" si="126"/>
      </c>
      <c r="K282" s="31">
        <f t="shared" si="127"/>
      </c>
      <c r="L282" s="28">
        <f t="shared" si="128"/>
      </c>
    </row>
    <row r="283" spans="1:12" ht="12.75">
      <c r="A283" s="6">
        <f t="shared" si="129"/>
        <v>44652</v>
      </c>
      <c r="B283" s="19">
        <f t="shared" si="119"/>
        <v>273</v>
      </c>
      <c r="C283" s="26">
        <f t="shared" si="120"/>
      </c>
      <c r="D283" s="26">
        <f t="shared" si="121"/>
      </c>
      <c r="E283" s="26">
        <f t="shared" si="122"/>
      </c>
      <c r="F283" s="26">
        <f t="shared" si="123"/>
        <v>0</v>
      </c>
      <c r="G283" s="21">
        <f t="shared" si="124"/>
      </c>
      <c r="H283" s="28">
        <f>IF(F282&lt;0.5,"",IF(OR(YEAR(A283)&lt;YEAR(A284),F283&lt;0.5),SUM($G$11:G283)-SUM($H$11:H282),""))</f>
      </c>
      <c r="I283" s="30">
        <f t="shared" si="125"/>
      </c>
      <c r="J283" s="30">
        <f t="shared" si="126"/>
      </c>
      <c r="K283" s="31">
        <f t="shared" si="127"/>
      </c>
      <c r="L283" s="28">
        <f t="shared" si="128"/>
      </c>
    </row>
    <row r="284" spans="1:12" ht="12.75">
      <c r="A284" s="6">
        <f t="shared" si="129"/>
        <v>44682</v>
      </c>
      <c r="B284" s="19">
        <f t="shared" si="119"/>
        <v>274</v>
      </c>
      <c r="C284" s="26">
        <f t="shared" si="120"/>
      </c>
      <c r="D284" s="26">
        <f t="shared" si="121"/>
      </c>
      <c r="E284" s="26">
        <f t="shared" si="122"/>
      </c>
      <c r="F284" s="26">
        <f t="shared" si="123"/>
        <v>0</v>
      </c>
      <c r="G284" s="21">
        <f t="shared" si="124"/>
      </c>
      <c r="H284" s="28">
        <f>IF(F283&lt;0.5,"",IF(OR(YEAR(A284)&lt;YEAR(A285),F284&lt;0.5),SUM($G$11:G284)-SUM($H$11:H283),""))</f>
      </c>
      <c r="I284" s="30">
        <f t="shared" si="125"/>
      </c>
      <c r="J284" s="30">
        <f t="shared" si="126"/>
      </c>
      <c r="K284" s="31">
        <f t="shared" si="127"/>
      </c>
      <c r="L284" s="28">
        <f t="shared" si="128"/>
      </c>
    </row>
    <row r="285" spans="1:12" ht="12.75">
      <c r="A285" s="6">
        <f t="shared" si="129"/>
        <v>44713</v>
      </c>
      <c r="B285" s="19">
        <f aca="true" t="shared" si="130" ref="B285:B308">B284+1</f>
        <v>275</v>
      </c>
      <c r="C285" s="26">
        <f aca="true" t="shared" si="131" ref="C285:C308">IF(F284&gt;0.5,C284,"")</f>
      </c>
      <c r="D285" s="26">
        <f aca="true" t="shared" si="132" ref="D285:D308">IF(F284&gt;0.5,$I$3*F284,"")</f>
      </c>
      <c r="E285" s="26">
        <f aca="true" t="shared" si="133" ref="E285:E308">IF(F284&gt;0.5,C285-D285,"")</f>
      </c>
      <c r="F285" s="26">
        <f aca="true" t="shared" si="134" ref="F285:F308">IF(F284&gt;0.5,F284-E285,0)</f>
        <v>0</v>
      </c>
      <c r="G285" s="21">
        <f aca="true" t="shared" si="135" ref="G285:G308">IF(F284&gt;0.5,D285*$I$5,"")</f>
      </c>
      <c r="H285" s="28">
        <f>IF(F284&lt;0.5,"",IF(OR(YEAR(A285)&lt;YEAR(A286),F285&lt;0.5),SUM($G$11:G285)-SUM($H$11:H284),""))</f>
      </c>
      <c r="I285" s="30">
        <f aca="true" t="shared" si="136" ref="I285:I308">IF(F284&gt;0.5,I284+D285,"")</f>
      </c>
      <c r="J285" s="30">
        <f aca="true" t="shared" si="137" ref="J285:J308">IF(F284&gt;0.5,J284+E285,"")</f>
      </c>
      <c r="K285" s="31">
        <f aca="true" t="shared" si="138" ref="K285:K308">IF(F284&gt;0.5,C285/(1+$I$4)^B285+K284,"")</f>
      </c>
      <c r="L285" s="28">
        <f aca="true" t="shared" si="139" ref="L285:L308">IF(F284&lt;0.5,"",IF(H285="",L284,H285/(1+$I$4)^B285+L284))</f>
      </c>
    </row>
    <row r="286" spans="1:12" ht="12.75">
      <c r="A286" s="6">
        <f t="shared" si="129"/>
        <v>44743</v>
      </c>
      <c r="B286" s="19">
        <f t="shared" si="130"/>
        <v>276</v>
      </c>
      <c r="C286" s="26">
        <f t="shared" si="131"/>
      </c>
      <c r="D286" s="26">
        <f t="shared" si="132"/>
      </c>
      <c r="E286" s="26">
        <f t="shared" si="133"/>
      </c>
      <c r="F286" s="26">
        <f t="shared" si="134"/>
        <v>0</v>
      </c>
      <c r="G286" s="21">
        <f t="shared" si="135"/>
      </c>
      <c r="H286" s="28">
        <f>IF(F285&lt;0.5,"",IF(OR(YEAR(A286)&lt;YEAR(A287),F286&lt;0.5),SUM($G$11:G286)-SUM($H$11:H285),""))</f>
      </c>
      <c r="I286" s="30">
        <f t="shared" si="136"/>
      </c>
      <c r="J286" s="30">
        <f t="shared" si="137"/>
      </c>
      <c r="K286" s="31">
        <f t="shared" si="138"/>
      </c>
      <c r="L286" s="28">
        <f t="shared" si="139"/>
      </c>
    </row>
    <row r="287" spans="1:12" ht="12.75">
      <c r="A287" s="6">
        <f t="shared" si="129"/>
        <v>44774</v>
      </c>
      <c r="B287" s="19">
        <f t="shared" si="130"/>
        <v>277</v>
      </c>
      <c r="C287" s="26">
        <f t="shared" si="131"/>
      </c>
      <c r="D287" s="26">
        <f t="shared" si="132"/>
      </c>
      <c r="E287" s="26">
        <f t="shared" si="133"/>
      </c>
      <c r="F287" s="26">
        <f t="shared" si="134"/>
        <v>0</v>
      </c>
      <c r="G287" s="21">
        <f t="shared" si="135"/>
      </c>
      <c r="H287" s="28">
        <f>IF(F286&lt;0.5,"",IF(OR(YEAR(A287)&lt;YEAR(A288),F287&lt;0.5),SUM($G$11:G287)-SUM($H$11:H286),""))</f>
      </c>
      <c r="I287" s="30">
        <f t="shared" si="136"/>
      </c>
      <c r="J287" s="30">
        <f t="shared" si="137"/>
      </c>
      <c r="K287" s="31">
        <f t="shared" si="138"/>
      </c>
      <c r="L287" s="28">
        <f t="shared" si="139"/>
      </c>
    </row>
    <row r="288" spans="1:12" ht="12.75">
      <c r="A288" s="6">
        <f t="shared" si="129"/>
        <v>44805</v>
      </c>
      <c r="B288" s="19">
        <f t="shared" si="130"/>
        <v>278</v>
      </c>
      <c r="C288" s="26">
        <f t="shared" si="131"/>
      </c>
      <c r="D288" s="26">
        <f t="shared" si="132"/>
      </c>
      <c r="E288" s="26">
        <f t="shared" si="133"/>
      </c>
      <c r="F288" s="26">
        <f t="shared" si="134"/>
        <v>0</v>
      </c>
      <c r="G288" s="21">
        <f t="shared" si="135"/>
      </c>
      <c r="H288" s="28">
        <f>IF(F287&lt;0.5,"",IF(OR(YEAR(A288)&lt;YEAR(A289),F288&lt;0.5),SUM($G$11:G288)-SUM($H$11:H287),""))</f>
      </c>
      <c r="I288" s="30">
        <f t="shared" si="136"/>
      </c>
      <c r="J288" s="30">
        <f t="shared" si="137"/>
      </c>
      <c r="K288" s="31">
        <f t="shared" si="138"/>
      </c>
      <c r="L288" s="28">
        <f t="shared" si="139"/>
      </c>
    </row>
    <row r="289" spans="1:12" ht="12.75">
      <c r="A289" s="6">
        <f t="shared" si="129"/>
        <v>44835</v>
      </c>
      <c r="B289" s="19">
        <f t="shared" si="130"/>
        <v>279</v>
      </c>
      <c r="C289" s="26">
        <f t="shared" si="131"/>
      </c>
      <c r="D289" s="26">
        <f t="shared" si="132"/>
      </c>
      <c r="E289" s="26">
        <f t="shared" si="133"/>
      </c>
      <c r="F289" s="26">
        <f t="shared" si="134"/>
        <v>0</v>
      </c>
      <c r="G289" s="21">
        <f t="shared" si="135"/>
      </c>
      <c r="H289" s="28">
        <f>IF(F288&lt;0.5,"",IF(OR(YEAR(A289)&lt;YEAR(A290),F289&lt;0.5),SUM($G$11:G289)-SUM($H$11:H288),""))</f>
      </c>
      <c r="I289" s="30">
        <f t="shared" si="136"/>
      </c>
      <c r="J289" s="30">
        <f t="shared" si="137"/>
      </c>
      <c r="K289" s="31">
        <f t="shared" si="138"/>
      </c>
      <c r="L289" s="28">
        <f t="shared" si="139"/>
      </c>
    </row>
    <row r="290" spans="1:12" ht="12.75">
      <c r="A290" s="6">
        <f t="shared" si="129"/>
        <v>44866</v>
      </c>
      <c r="B290" s="19">
        <f t="shared" si="130"/>
        <v>280</v>
      </c>
      <c r="C290" s="26">
        <f t="shared" si="131"/>
      </c>
      <c r="D290" s="26">
        <f t="shared" si="132"/>
      </c>
      <c r="E290" s="26">
        <f t="shared" si="133"/>
      </c>
      <c r="F290" s="26">
        <f t="shared" si="134"/>
        <v>0</v>
      </c>
      <c r="G290" s="21">
        <f t="shared" si="135"/>
      </c>
      <c r="H290" s="28">
        <f>IF(F289&lt;0.5,"",IF(OR(YEAR(A290)&lt;YEAR(A291),F290&lt;0.5),SUM($G$11:G290)-SUM($H$11:H289),""))</f>
      </c>
      <c r="I290" s="30">
        <f t="shared" si="136"/>
      </c>
      <c r="J290" s="30">
        <f t="shared" si="137"/>
      </c>
      <c r="K290" s="31">
        <f t="shared" si="138"/>
      </c>
      <c r="L290" s="28">
        <f t="shared" si="139"/>
      </c>
    </row>
    <row r="291" spans="1:12" ht="12.75">
      <c r="A291" s="6">
        <f t="shared" si="129"/>
        <v>44896</v>
      </c>
      <c r="B291" s="19">
        <f t="shared" si="130"/>
        <v>281</v>
      </c>
      <c r="C291" s="26">
        <f t="shared" si="131"/>
      </c>
      <c r="D291" s="26">
        <f t="shared" si="132"/>
      </c>
      <c r="E291" s="26">
        <f t="shared" si="133"/>
      </c>
      <c r="F291" s="26">
        <f t="shared" si="134"/>
        <v>0</v>
      </c>
      <c r="G291" s="21">
        <f t="shared" si="135"/>
      </c>
      <c r="H291" s="28">
        <f>IF(F290&lt;0.5,"",IF(OR(YEAR(A291)&lt;YEAR(A292),F291&lt;0.5),SUM($G$11:G291)-SUM($H$11:H290),""))</f>
      </c>
      <c r="I291" s="30">
        <f t="shared" si="136"/>
      </c>
      <c r="J291" s="30">
        <f t="shared" si="137"/>
      </c>
      <c r="K291" s="31">
        <f t="shared" si="138"/>
      </c>
      <c r="L291" s="28">
        <f t="shared" si="139"/>
      </c>
    </row>
    <row r="292" spans="1:12" ht="12.75">
      <c r="A292" s="6">
        <f t="shared" si="129"/>
        <v>44927</v>
      </c>
      <c r="B292" s="19">
        <f t="shared" si="130"/>
        <v>282</v>
      </c>
      <c r="C292" s="26">
        <f t="shared" si="131"/>
      </c>
      <c r="D292" s="26">
        <f t="shared" si="132"/>
      </c>
      <c r="E292" s="26">
        <f t="shared" si="133"/>
      </c>
      <c r="F292" s="26">
        <f t="shared" si="134"/>
        <v>0</v>
      </c>
      <c r="G292" s="21">
        <f t="shared" si="135"/>
      </c>
      <c r="H292" s="28">
        <f>IF(F291&lt;0.5,"",IF(OR(YEAR(A292)&lt;YEAR(A293),F292&lt;0.5),SUM($G$11:G292)-SUM($H$11:H291),""))</f>
      </c>
      <c r="I292" s="30">
        <f t="shared" si="136"/>
      </c>
      <c r="J292" s="30">
        <f t="shared" si="137"/>
      </c>
      <c r="K292" s="31">
        <f t="shared" si="138"/>
      </c>
      <c r="L292" s="28">
        <f t="shared" si="139"/>
      </c>
    </row>
    <row r="293" spans="1:12" ht="12.75">
      <c r="A293" s="6">
        <f t="shared" si="129"/>
        <v>44958</v>
      </c>
      <c r="B293" s="19">
        <f t="shared" si="130"/>
        <v>283</v>
      </c>
      <c r="C293" s="26">
        <f t="shared" si="131"/>
      </c>
      <c r="D293" s="26">
        <f t="shared" si="132"/>
      </c>
      <c r="E293" s="26">
        <f t="shared" si="133"/>
      </c>
      <c r="F293" s="26">
        <f t="shared" si="134"/>
        <v>0</v>
      </c>
      <c r="G293" s="21">
        <f t="shared" si="135"/>
      </c>
      <c r="H293" s="28">
        <f>IF(F292&lt;0.5,"",IF(OR(YEAR(A293)&lt;YEAR(A294),F293&lt;0.5),SUM($G$11:G293)-SUM($H$11:H292),""))</f>
      </c>
      <c r="I293" s="30">
        <f t="shared" si="136"/>
      </c>
      <c r="J293" s="30">
        <f t="shared" si="137"/>
      </c>
      <c r="K293" s="31">
        <f t="shared" si="138"/>
      </c>
      <c r="L293" s="28">
        <f t="shared" si="139"/>
      </c>
    </row>
    <row r="294" spans="1:12" ht="12.75">
      <c r="A294" s="6">
        <f t="shared" si="129"/>
        <v>44986</v>
      </c>
      <c r="B294" s="19">
        <f t="shared" si="130"/>
        <v>284</v>
      </c>
      <c r="C294" s="26">
        <f t="shared" si="131"/>
      </c>
      <c r="D294" s="26">
        <f t="shared" si="132"/>
      </c>
      <c r="E294" s="26">
        <f t="shared" si="133"/>
      </c>
      <c r="F294" s="26">
        <f t="shared" si="134"/>
        <v>0</v>
      </c>
      <c r="G294" s="21">
        <f t="shared" si="135"/>
      </c>
      <c r="H294" s="28">
        <f>IF(F293&lt;0.5,"",IF(OR(YEAR(A294)&lt;YEAR(A295),F294&lt;0.5),SUM($G$11:G294)-SUM($H$11:H293),""))</f>
      </c>
      <c r="I294" s="30">
        <f t="shared" si="136"/>
      </c>
      <c r="J294" s="30">
        <f t="shared" si="137"/>
      </c>
      <c r="K294" s="31">
        <f t="shared" si="138"/>
      </c>
      <c r="L294" s="28">
        <f t="shared" si="139"/>
      </c>
    </row>
    <row r="295" spans="1:12" ht="12.75">
      <c r="A295" s="6">
        <f t="shared" si="129"/>
        <v>45017</v>
      </c>
      <c r="B295" s="19">
        <f t="shared" si="130"/>
        <v>285</v>
      </c>
      <c r="C295" s="26">
        <f t="shared" si="131"/>
      </c>
      <c r="D295" s="26">
        <f t="shared" si="132"/>
      </c>
      <c r="E295" s="26">
        <f t="shared" si="133"/>
      </c>
      <c r="F295" s="26">
        <f t="shared" si="134"/>
        <v>0</v>
      </c>
      <c r="G295" s="21">
        <f t="shared" si="135"/>
      </c>
      <c r="H295" s="28">
        <f>IF(F294&lt;0.5,"",IF(OR(YEAR(A295)&lt;YEAR(A296),F295&lt;0.5),SUM($G$11:G295)-SUM($H$11:H294),""))</f>
      </c>
      <c r="I295" s="30">
        <f t="shared" si="136"/>
      </c>
      <c r="J295" s="30">
        <f t="shared" si="137"/>
      </c>
      <c r="K295" s="31">
        <f t="shared" si="138"/>
      </c>
      <c r="L295" s="28">
        <f t="shared" si="139"/>
      </c>
    </row>
    <row r="296" spans="1:12" ht="12.75">
      <c r="A296" s="6">
        <f t="shared" si="129"/>
        <v>45047</v>
      </c>
      <c r="B296" s="19">
        <f t="shared" si="130"/>
        <v>286</v>
      </c>
      <c r="C296" s="26">
        <f t="shared" si="131"/>
      </c>
      <c r="D296" s="26">
        <f t="shared" si="132"/>
      </c>
      <c r="E296" s="26">
        <f t="shared" si="133"/>
      </c>
      <c r="F296" s="26">
        <f t="shared" si="134"/>
        <v>0</v>
      </c>
      <c r="G296" s="21">
        <f t="shared" si="135"/>
      </c>
      <c r="H296" s="28">
        <f>IF(F295&lt;0.5,"",IF(OR(YEAR(A296)&lt;YEAR(A297),F296&lt;0.5),SUM($G$11:G296)-SUM($H$11:H295),""))</f>
      </c>
      <c r="I296" s="30">
        <f t="shared" si="136"/>
      </c>
      <c r="J296" s="30">
        <f t="shared" si="137"/>
      </c>
      <c r="K296" s="31">
        <f t="shared" si="138"/>
      </c>
      <c r="L296" s="28">
        <f t="shared" si="139"/>
      </c>
    </row>
    <row r="297" spans="1:12" ht="12.75">
      <c r="A297" s="6">
        <f t="shared" si="129"/>
        <v>45078</v>
      </c>
      <c r="B297" s="19">
        <f t="shared" si="130"/>
        <v>287</v>
      </c>
      <c r="C297" s="26">
        <f t="shared" si="131"/>
      </c>
      <c r="D297" s="26">
        <f t="shared" si="132"/>
      </c>
      <c r="E297" s="26">
        <f t="shared" si="133"/>
      </c>
      <c r="F297" s="26">
        <f t="shared" si="134"/>
        <v>0</v>
      </c>
      <c r="G297" s="21">
        <f t="shared" si="135"/>
      </c>
      <c r="H297" s="28">
        <f>IF(F296&lt;0.5,"",IF(OR(YEAR(A297)&lt;YEAR(A298),F297&lt;0.5),SUM($G$11:G297)-SUM($H$11:H296),""))</f>
      </c>
      <c r="I297" s="30">
        <f t="shared" si="136"/>
      </c>
      <c r="J297" s="30">
        <f t="shared" si="137"/>
      </c>
      <c r="K297" s="31">
        <f t="shared" si="138"/>
      </c>
      <c r="L297" s="28">
        <f t="shared" si="139"/>
      </c>
    </row>
    <row r="298" spans="1:12" ht="12.75">
      <c r="A298" s="6">
        <f t="shared" si="129"/>
        <v>45108</v>
      </c>
      <c r="B298" s="19">
        <f t="shared" si="130"/>
        <v>288</v>
      </c>
      <c r="C298" s="26">
        <f t="shared" si="131"/>
      </c>
      <c r="D298" s="26">
        <f t="shared" si="132"/>
      </c>
      <c r="E298" s="26">
        <f t="shared" si="133"/>
      </c>
      <c r="F298" s="26">
        <f t="shared" si="134"/>
        <v>0</v>
      </c>
      <c r="G298" s="21">
        <f t="shared" si="135"/>
      </c>
      <c r="H298" s="28">
        <f>IF(F297&lt;0.5,"",IF(OR(YEAR(A298)&lt;YEAR(A299),F298&lt;0.5),SUM($G$11:G298)-SUM($H$11:H297),""))</f>
      </c>
      <c r="I298" s="30">
        <f t="shared" si="136"/>
      </c>
      <c r="J298" s="30">
        <f t="shared" si="137"/>
      </c>
      <c r="K298" s="31">
        <f t="shared" si="138"/>
      </c>
      <c r="L298" s="28">
        <f t="shared" si="139"/>
      </c>
    </row>
    <row r="299" spans="1:12" ht="12.75">
      <c r="A299" s="6">
        <f t="shared" si="129"/>
        <v>45139</v>
      </c>
      <c r="B299" s="19">
        <f t="shared" si="130"/>
        <v>289</v>
      </c>
      <c r="C299" s="26">
        <f t="shared" si="131"/>
      </c>
      <c r="D299" s="26">
        <f t="shared" si="132"/>
      </c>
      <c r="E299" s="26">
        <f t="shared" si="133"/>
      </c>
      <c r="F299" s="26">
        <f t="shared" si="134"/>
        <v>0</v>
      </c>
      <c r="G299" s="21">
        <f t="shared" si="135"/>
      </c>
      <c r="H299" s="28">
        <f>IF(F298&lt;0.5,"",IF(OR(YEAR(A299)&lt;YEAR(A300),F299&lt;0.5),SUM($G$11:G299)-SUM($H$11:H298),""))</f>
      </c>
      <c r="I299" s="30">
        <f t="shared" si="136"/>
      </c>
      <c r="J299" s="30">
        <f t="shared" si="137"/>
      </c>
      <c r="K299" s="31">
        <f t="shared" si="138"/>
      </c>
      <c r="L299" s="28">
        <f t="shared" si="139"/>
      </c>
    </row>
    <row r="300" spans="1:12" ht="12.75">
      <c r="A300" s="6">
        <f t="shared" si="129"/>
        <v>45170</v>
      </c>
      <c r="B300" s="19">
        <f t="shared" si="130"/>
        <v>290</v>
      </c>
      <c r="C300" s="26">
        <f t="shared" si="131"/>
      </c>
      <c r="D300" s="26">
        <f t="shared" si="132"/>
      </c>
      <c r="E300" s="26">
        <f t="shared" si="133"/>
      </c>
      <c r="F300" s="26">
        <f t="shared" si="134"/>
        <v>0</v>
      </c>
      <c r="G300" s="21">
        <f t="shared" si="135"/>
      </c>
      <c r="H300" s="28">
        <f>IF(F299&lt;0.5,"",IF(OR(YEAR(A300)&lt;YEAR(A301),F300&lt;0.5),SUM($G$11:G300)-SUM($H$11:H299),""))</f>
      </c>
      <c r="I300" s="30">
        <f t="shared" si="136"/>
      </c>
      <c r="J300" s="30">
        <f t="shared" si="137"/>
      </c>
      <c r="K300" s="31">
        <f t="shared" si="138"/>
      </c>
      <c r="L300" s="28">
        <f t="shared" si="139"/>
      </c>
    </row>
    <row r="301" spans="1:12" ht="12.75">
      <c r="A301" s="6">
        <f t="shared" si="129"/>
        <v>45200</v>
      </c>
      <c r="B301" s="19">
        <f t="shared" si="130"/>
        <v>291</v>
      </c>
      <c r="C301" s="26">
        <f t="shared" si="131"/>
      </c>
      <c r="D301" s="26">
        <f t="shared" si="132"/>
      </c>
      <c r="E301" s="26">
        <f t="shared" si="133"/>
      </c>
      <c r="F301" s="26">
        <f t="shared" si="134"/>
        <v>0</v>
      </c>
      <c r="G301" s="21">
        <f t="shared" si="135"/>
      </c>
      <c r="H301" s="28">
        <f>IF(F300&lt;0.5,"",IF(OR(YEAR(A301)&lt;YEAR(A302),F301&lt;0.5),SUM($G$11:G301)-SUM($H$11:H300),""))</f>
      </c>
      <c r="I301" s="30">
        <f t="shared" si="136"/>
      </c>
      <c r="J301" s="30">
        <f t="shared" si="137"/>
      </c>
      <c r="K301" s="31">
        <f t="shared" si="138"/>
      </c>
      <c r="L301" s="28">
        <f t="shared" si="139"/>
      </c>
    </row>
    <row r="302" spans="1:12" ht="12.75">
      <c r="A302" s="6">
        <f t="shared" si="129"/>
        <v>45231</v>
      </c>
      <c r="B302" s="19">
        <f t="shared" si="130"/>
        <v>292</v>
      </c>
      <c r="C302" s="26">
        <f t="shared" si="131"/>
      </c>
      <c r="D302" s="26">
        <f t="shared" si="132"/>
      </c>
      <c r="E302" s="26">
        <f t="shared" si="133"/>
      </c>
      <c r="F302" s="26">
        <f t="shared" si="134"/>
        <v>0</v>
      </c>
      <c r="G302" s="21">
        <f t="shared" si="135"/>
      </c>
      <c r="H302" s="28">
        <f>IF(F301&lt;0.5,"",IF(OR(YEAR(A302)&lt;YEAR(A303),F302&lt;0.5),SUM($G$11:G302)-SUM($H$11:H301),""))</f>
      </c>
      <c r="I302" s="30">
        <f t="shared" si="136"/>
      </c>
      <c r="J302" s="30">
        <f t="shared" si="137"/>
      </c>
      <c r="K302" s="31">
        <f t="shared" si="138"/>
      </c>
      <c r="L302" s="28">
        <f t="shared" si="139"/>
      </c>
    </row>
    <row r="303" spans="1:12" ht="12.75">
      <c r="A303" s="6">
        <f t="shared" si="129"/>
        <v>45261</v>
      </c>
      <c r="B303" s="19">
        <f t="shared" si="130"/>
        <v>293</v>
      </c>
      <c r="C303" s="26">
        <f t="shared" si="131"/>
      </c>
      <c r="D303" s="26">
        <f t="shared" si="132"/>
      </c>
      <c r="E303" s="26">
        <f t="shared" si="133"/>
      </c>
      <c r="F303" s="26">
        <f t="shared" si="134"/>
        <v>0</v>
      </c>
      <c r="G303" s="21">
        <f t="shared" si="135"/>
      </c>
      <c r="H303" s="28">
        <f>IF(F302&lt;0.5,"",IF(OR(YEAR(A303)&lt;YEAR(A304),F303&lt;0.5),SUM($G$11:G303)-SUM($H$11:H302),""))</f>
      </c>
      <c r="I303" s="30">
        <f t="shared" si="136"/>
      </c>
      <c r="J303" s="30">
        <f t="shared" si="137"/>
      </c>
      <c r="K303" s="31">
        <f t="shared" si="138"/>
      </c>
      <c r="L303" s="28">
        <f t="shared" si="139"/>
      </c>
    </row>
    <row r="304" spans="1:12" ht="12.75">
      <c r="A304" s="6">
        <f t="shared" si="129"/>
        <v>45292</v>
      </c>
      <c r="B304" s="19">
        <f t="shared" si="130"/>
        <v>294</v>
      </c>
      <c r="C304" s="26">
        <f t="shared" si="131"/>
      </c>
      <c r="D304" s="26">
        <f t="shared" si="132"/>
      </c>
      <c r="E304" s="26">
        <f t="shared" si="133"/>
      </c>
      <c r="F304" s="26">
        <f t="shared" si="134"/>
        <v>0</v>
      </c>
      <c r="G304" s="21">
        <f t="shared" si="135"/>
      </c>
      <c r="H304" s="28">
        <f>IF(F303&lt;0.5,"",IF(OR(YEAR(A304)&lt;YEAR(A305),F304&lt;0.5),SUM($G$11:G304)-SUM($H$11:H303),""))</f>
      </c>
      <c r="I304" s="30">
        <f t="shared" si="136"/>
      </c>
      <c r="J304" s="30">
        <f t="shared" si="137"/>
      </c>
      <c r="K304" s="31">
        <f t="shared" si="138"/>
      </c>
      <c r="L304" s="28">
        <f t="shared" si="139"/>
      </c>
    </row>
    <row r="305" spans="1:12" ht="12.75">
      <c r="A305" s="6">
        <f t="shared" si="129"/>
        <v>45323</v>
      </c>
      <c r="B305" s="19">
        <f t="shared" si="130"/>
        <v>295</v>
      </c>
      <c r="C305" s="26">
        <f t="shared" si="131"/>
      </c>
      <c r="D305" s="26">
        <f t="shared" si="132"/>
      </c>
      <c r="E305" s="26">
        <f t="shared" si="133"/>
      </c>
      <c r="F305" s="26">
        <f t="shared" si="134"/>
        <v>0</v>
      </c>
      <c r="G305" s="21">
        <f t="shared" si="135"/>
      </c>
      <c r="H305" s="28">
        <f>IF(F304&lt;0.5,"",IF(OR(YEAR(A305)&lt;YEAR(A306),F305&lt;0.5),SUM($G$11:G305)-SUM($H$11:H304),""))</f>
      </c>
      <c r="I305" s="30">
        <f t="shared" si="136"/>
      </c>
      <c r="J305" s="30">
        <f t="shared" si="137"/>
      </c>
      <c r="K305" s="31">
        <f t="shared" si="138"/>
      </c>
      <c r="L305" s="28">
        <f t="shared" si="139"/>
      </c>
    </row>
    <row r="306" spans="1:12" ht="12.75">
      <c r="A306" s="6">
        <f t="shared" si="129"/>
        <v>45352</v>
      </c>
      <c r="B306" s="19">
        <f t="shared" si="130"/>
        <v>296</v>
      </c>
      <c r="C306" s="26">
        <f t="shared" si="131"/>
      </c>
      <c r="D306" s="26">
        <f t="shared" si="132"/>
      </c>
      <c r="E306" s="26">
        <f t="shared" si="133"/>
      </c>
      <c r="F306" s="26">
        <f t="shared" si="134"/>
        <v>0</v>
      </c>
      <c r="G306" s="21">
        <f t="shared" si="135"/>
      </c>
      <c r="H306" s="28">
        <f>IF(F305&lt;0.5,"",IF(OR(YEAR(A306)&lt;YEAR(A307),F306&lt;0.5),SUM($G$11:G306)-SUM($H$11:H305),""))</f>
      </c>
      <c r="I306" s="30">
        <f t="shared" si="136"/>
      </c>
      <c r="J306" s="30">
        <f t="shared" si="137"/>
      </c>
      <c r="K306" s="31">
        <f t="shared" si="138"/>
      </c>
      <c r="L306" s="28">
        <f t="shared" si="139"/>
      </c>
    </row>
    <row r="307" spans="1:12" ht="12.75">
      <c r="A307" s="6">
        <f t="shared" si="129"/>
        <v>45383</v>
      </c>
      <c r="B307" s="19">
        <f t="shared" si="130"/>
        <v>297</v>
      </c>
      <c r="C307" s="26">
        <f t="shared" si="131"/>
      </c>
      <c r="D307" s="26">
        <f t="shared" si="132"/>
      </c>
      <c r="E307" s="26">
        <f t="shared" si="133"/>
      </c>
      <c r="F307" s="26">
        <f t="shared" si="134"/>
        <v>0</v>
      </c>
      <c r="G307" s="21">
        <f t="shared" si="135"/>
      </c>
      <c r="H307" s="28">
        <f>IF(F306&lt;0.5,"",IF(OR(YEAR(A307)&lt;YEAR(A308),F307&lt;0.5),SUM($G$11:G307)-SUM($H$11:H306),""))</f>
      </c>
      <c r="I307" s="30">
        <f t="shared" si="136"/>
      </c>
      <c r="J307" s="30">
        <f t="shared" si="137"/>
      </c>
      <c r="K307" s="31">
        <f t="shared" si="138"/>
      </c>
      <c r="L307" s="28">
        <f t="shared" si="139"/>
      </c>
    </row>
    <row r="308" spans="1:12" ht="12.75">
      <c r="A308" s="6">
        <f t="shared" si="129"/>
        <v>45413</v>
      </c>
      <c r="B308" s="19">
        <f t="shared" si="130"/>
        <v>298</v>
      </c>
      <c r="C308" s="26">
        <f t="shared" si="131"/>
      </c>
      <c r="D308" s="26">
        <f t="shared" si="132"/>
      </c>
      <c r="E308" s="26">
        <f t="shared" si="133"/>
      </c>
      <c r="F308" s="26">
        <f t="shared" si="134"/>
        <v>0</v>
      </c>
      <c r="G308" s="21">
        <f t="shared" si="135"/>
      </c>
      <c r="H308" s="28">
        <f>IF(F307&lt;0.5,"",IF(OR(YEAR(A308)&lt;YEAR(A309),F308&lt;0.5),SUM($G$11:G308)-SUM($H$11:H307),""))</f>
      </c>
      <c r="I308" s="30">
        <f t="shared" si="136"/>
      </c>
      <c r="J308" s="30">
        <f t="shared" si="137"/>
      </c>
      <c r="K308" s="31">
        <f t="shared" si="138"/>
      </c>
      <c r="L308" s="28">
        <f t="shared" si="139"/>
      </c>
    </row>
    <row r="309" spans="1:12" ht="12.75">
      <c r="A309" s="6">
        <f t="shared" si="129"/>
        <v>45444</v>
      </c>
      <c r="B309" s="19">
        <f aca="true" t="shared" si="140" ref="B309:B370">B308+1</f>
        <v>299</v>
      </c>
      <c r="C309" s="26">
        <f aca="true" t="shared" si="141" ref="C309:C370">IF(F308&gt;0.5,C308,"")</f>
      </c>
      <c r="D309" s="26">
        <f aca="true" t="shared" si="142" ref="D309:D370">IF(F308&gt;0.5,$I$3*F308,"")</f>
      </c>
      <c r="E309" s="26">
        <f aca="true" t="shared" si="143" ref="E309:E370">IF(F308&gt;0.5,C309-D309,"")</f>
      </c>
      <c r="F309" s="26">
        <f aca="true" t="shared" si="144" ref="F309:F370">IF(F308&gt;0.5,F308-E309,0)</f>
        <v>0</v>
      </c>
      <c r="G309" s="21">
        <f aca="true" t="shared" si="145" ref="G309:G370">IF(F308&gt;0.5,D309*$I$5,"")</f>
      </c>
      <c r="H309" s="28">
        <f>IF(F308&lt;0.5,"",IF(OR(YEAR(A309)&lt;YEAR(A310),F309&lt;0.5),SUM($G$11:G309)-SUM($H$11:H308),""))</f>
      </c>
      <c r="I309" s="30">
        <f aca="true" t="shared" si="146" ref="I309:I370">IF(F308&gt;0.5,I308+D309,"")</f>
      </c>
      <c r="J309" s="30">
        <f aca="true" t="shared" si="147" ref="J309:J370">IF(F308&gt;0.5,J308+E309,"")</f>
      </c>
      <c r="K309" s="31">
        <f aca="true" t="shared" si="148" ref="K309:K370">IF(F308&gt;0.5,C309/(1+$I$4)^B309+K308,"")</f>
      </c>
      <c r="L309" s="28">
        <f aca="true" t="shared" si="149" ref="L309:L370">IF(F308&lt;0.5,"",IF(H309="",L308,H309/(1+$I$4)^B309+L308))</f>
      </c>
    </row>
    <row r="310" spans="1:12" ht="12.75">
      <c r="A310" s="6">
        <f t="shared" si="129"/>
        <v>45474</v>
      </c>
      <c r="B310" s="19">
        <f t="shared" si="140"/>
        <v>300</v>
      </c>
      <c r="C310" s="26">
        <f t="shared" si="141"/>
      </c>
      <c r="D310" s="26">
        <f t="shared" si="142"/>
      </c>
      <c r="E310" s="26">
        <f t="shared" si="143"/>
      </c>
      <c r="F310" s="26">
        <f t="shared" si="144"/>
        <v>0</v>
      </c>
      <c r="G310" s="21">
        <f t="shared" si="145"/>
      </c>
      <c r="H310" s="28">
        <f>IF(F309&lt;0.5,"",IF(OR(YEAR(A310)&lt;YEAR(A311),F310&lt;0.5),SUM($G$11:G310)-SUM($H$11:H309),""))</f>
      </c>
      <c r="I310" s="30">
        <f t="shared" si="146"/>
      </c>
      <c r="J310" s="30">
        <f t="shared" si="147"/>
      </c>
      <c r="K310" s="31">
        <f t="shared" si="148"/>
      </c>
      <c r="L310" s="28">
        <f t="shared" si="149"/>
      </c>
    </row>
    <row r="311" spans="1:12" ht="12.75">
      <c r="A311" s="6">
        <f t="shared" si="129"/>
        <v>45505</v>
      </c>
      <c r="B311" s="19">
        <f t="shared" si="140"/>
        <v>301</v>
      </c>
      <c r="C311" s="26">
        <f t="shared" si="141"/>
      </c>
      <c r="D311" s="26">
        <f t="shared" si="142"/>
      </c>
      <c r="E311" s="26">
        <f t="shared" si="143"/>
      </c>
      <c r="F311" s="26">
        <f t="shared" si="144"/>
        <v>0</v>
      </c>
      <c r="G311" s="21">
        <f t="shared" si="145"/>
      </c>
      <c r="H311" s="28">
        <f>IF(F310&lt;0.5,"",IF(OR(YEAR(A311)&lt;YEAR(A312),F311&lt;0.5),SUM($G$11:G311)-SUM($H$11:H310),""))</f>
      </c>
      <c r="I311" s="30">
        <f t="shared" si="146"/>
      </c>
      <c r="J311" s="30">
        <f t="shared" si="147"/>
      </c>
      <c r="K311" s="31">
        <f t="shared" si="148"/>
      </c>
      <c r="L311" s="28">
        <f t="shared" si="149"/>
      </c>
    </row>
    <row r="312" spans="1:12" ht="12.75">
      <c r="A312" s="6">
        <f t="shared" si="129"/>
        <v>45536</v>
      </c>
      <c r="B312" s="19">
        <f t="shared" si="140"/>
        <v>302</v>
      </c>
      <c r="C312" s="26">
        <f t="shared" si="141"/>
      </c>
      <c r="D312" s="26">
        <f t="shared" si="142"/>
      </c>
      <c r="E312" s="26">
        <f t="shared" si="143"/>
      </c>
      <c r="F312" s="26">
        <f t="shared" si="144"/>
        <v>0</v>
      </c>
      <c r="G312" s="21">
        <f t="shared" si="145"/>
      </c>
      <c r="H312" s="28">
        <f>IF(F311&lt;0.5,"",IF(OR(YEAR(A312)&lt;YEAR(A313),F312&lt;0.5),SUM($G$11:G312)-SUM($H$11:H311),""))</f>
      </c>
      <c r="I312" s="30">
        <f t="shared" si="146"/>
      </c>
      <c r="J312" s="30">
        <f t="shared" si="147"/>
      </c>
      <c r="K312" s="31">
        <f t="shared" si="148"/>
      </c>
      <c r="L312" s="28">
        <f t="shared" si="149"/>
      </c>
    </row>
    <row r="313" spans="1:12" ht="12.75">
      <c r="A313" s="6">
        <f t="shared" si="129"/>
        <v>45566</v>
      </c>
      <c r="B313" s="19">
        <f t="shared" si="140"/>
        <v>303</v>
      </c>
      <c r="C313" s="26">
        <f t="shared" si="141"/>
      </c>
      <c r="D313" s="26">
        <f t="shared" si="142"/>
      </c>
      <c r="E313" s="26">
        <f t="shared" si="143"/>
      </c>
      <c r="F313" s="26">
        <f t="shared" si="144"/>
        <v>0</v>
      </c>
      <c r="G313" s="21">
        <f t="shared" si="145"/>
      </c>
      <c r="H313" s="28">
        <f>IF(F312&lt;0.5,"",IF(OR(YEAR(A313)&lt;YEAR(A314),F313&lt;0.5),SUM($G$11:G313)-SUM($H$11:H312),""))</f>
      </c>
      <c r="I313" s="30">
        <f t="shared" si="146"/>
      </c>
      <c r="J313" s="30">
        <f t="shared" si="147"/>
      </c>
      <c r="K313" s="31">
        <f t="shared" si="148"/>
      </c>
      <c r="L313" s="28">
        <f t="shared" si="149"/>
      </c>
    </row>
    <row r="314" spans="1:12" ht="12.75">
      <c r="A314" s="6">
        <f t="shared" si="129"/>
        <v>45597</v>
      </c>
      <c r="B314" s="19">
        <f t="shared" si="140"/>
        <v>304</v>
      </c>
      <c r="C314" s="26">
        <f t="shared" si="141"/>
      </c>
      <c r="D314" s="26">
        <f t="shared" si="142"/>
      </c>
      <c r="E314" s="26">
        <f t="shared" si="143"/>
      </c>
      <c r="F314" s="26">
        <f t="shared" si="144"/>
        <v>0</v>
      </c>
      <c r="G314" s="21">
        <f t="shared" si="145"/>
      </c>
      <c r="H314" s="28">
        <f>IF(F313&lt;0.5,"",IF(OR(YEAR(A314)&lt;YEAR(A315),F314&lt;0.5),SUM($G$11:G314)-SUM($H$11:H313),""))</f>
      </c>
      <c r="I314" s="30">
        <f t="shared" si="146"/>
      </c>
      <c r="J314" s="30">
        <f t="shared" si="147"/>
      </c>
      <c r="K314" s="31">
        <f t="shared" si="148"/>
      </c>
      <c r="L314" s="28">
        <f t="shared" si="149"/>
      </c>
    </row>
    <row r="315" spans="1:12" ht="12.75">
      <c r="A315" s="6">
        <f t="shared" si="129"/>
        <v>45627</v>
      </c>
      <c r="B315" s="19">
        <f t="shared" si="140"/>
        <v>305</v>
      </c>
      <c r="C315" s="26">
        <f t="shared" si="141"/>
      </c>
      <c r="D315" s="26">
        <f t="shared" si="142"/>
      </c>
      <c r="E315" s="26">
        <f t="shared" si="143"/>
      </c>
      <c r="F315" s="26">
        <f t="shared" si="144"/>
        <v>0</v>
      </c>
      <c r="G315" s="21">
        <f t="shared" si="145"/>
      </c>
      <c r="H315" s="28">
        <f>IF(F314&lt;0.5,"",IF(OR(YEAR(A315)&lt;YEAR(A316),F315&lt;0.5),SUM($G$11:G315)-SUM($H$11:H314),""))</f>
      </c>
      <c r="I315" s="30">
        <f t="shared" si="146"/>
      </c>
      <c r="J315" s="30">
        <f t="shared" si="147"/>
      </c>
      <c r="K315" s="31">
        <f t="shared" si="148"/>
      </c>
      <c r="L315" s="28">
        <f t="shared" si="149"/>
      </c>
    </row>
    <row r="316" spans="1:12" ht="12.75">
      <c r="A316" s="6">
        <f t="shared" si="129"/>
        <v>45658</v>
      </c>
      <c r="B316" s="19">
        <f t="shared" si="140"/>
        <v>306</v>
      </c>
      <c r="C316" s="26">
        <f t="shared" si="141"/>
      </c>
      <c r="D316" s="26">
        <f t="shared" si="142"/>
      </c>
      <c r="E316" s="26">
        <f t="shared" si="143"/>
      </c>
      <c r="F316" s="26">
        <f t="shared" si="144"/>
        <v>0</v>
      </c>
      <c r="G316" s="21">
        <f t="shared" si="145"/>
      </c>
      <c r="H316" s="28">
        <f>IF(F315&lt;0.5,"",IF(OR(YEAR(A316)&lt;YEAR(A317),F316&lt;0.5),SUM($G$11:G316)-SUM($H$11:H315),""))</f>
      </c>
      <c r="I316" s="30">
        <f t="shared" si="146"/>
      </c>
      <c r="J316" s="30">
        <f t="shared" si="147"/>
      </c>
      <c r="K316" s="31">
        <f t="shared" si="148"/>
      </c>
      <c r="L316" s="28">
        <f t="shared" si="149"/>
      </c>
    </row>
    <row r="317" spans="1:12" ht="12.75">
      <c r="A317" s="6">
        <f t="shared" si="129"/>
        <v>45689</v>
      </c>
      <c r="B317" s="19">
        <f t="shared" si="140"/>
        <v>307</v>
      </c>
      <c r="C317" s="26">
        <f t="shared" si="141"/>
      </c>
      <c r="D317" s="26">
        <f t="shared" si="142"/>
      </c>
      <c r="E317" s="26">
        <f t="shared" si="143"/>
      </c>
      <c r="F317" s="26">
        <f t="shared" si="144"/>
        <v>0</v>
      </c>
      <c r="G317" s="21">
        <f t="shared" si="145"/>
      </c>
      <c r="H317" s="28">
        <f>IF(F316&lt;0.5,"",IF(OR(YEAR(A317)&lt;YEAR(A318),F317&lt;0.5),SUM($G$11:G317)-SUM($H$11:H316),""))</f>
      </c>
      <c r="I317" s="30">
        <f t="shared" si="146"/>
      </c>
      <c r="J317" s="30">
        <f t="shared" si="147"/>
      </c>
      <c r="K317" s="31">
        <f t="shared" si="148"/>
      </c>
      <c r="L317" s="28">
        <f t="shared" si="149"/>
      </c>
    </row>
    <row r="318" spans="1:12" ht="12.75">
      <c r="A318" s="6">
        <f t="shared" si="129"/>
        <v>45717</v>
      </c>
      <c r="B318" s="19">
        <f t="shared" si="140"/>
        <v>308</v>
      </c>
      <c r="C318" s="26">
        <f t="shared" si="141"/>
      </c>
      <c r="D318" s="26">
        <f t="shared" si="142"/>
      </c>
      <c r="E318" s="26">
        <f t="shared" si="143"/>
      </c>
      <c r="F318" s="26">
        <f t="shared" si="144"/>
        <v>0</v>
      </c>
      <c r="G318" s="21">
        <f t="shared" si="145"/>
      </c>
      <c r="H318" s="28">
        <f>IF(F317&lt;0.5,"",IF(OR(YEAR(A318)&lt;YEAR(A319),F318&lt;0.5),SUM($G$11:G318)-SUM($H$11:H317),""))</f>
      </c>
      <c r="I318" s="30">
        <f t="shared" si="146"/>
      </c>
      <c r="J318" s="30">
        <f t="shared" si="147"/>
      </c>
      <c r="K318" s="31">
        <f t="shared" si="148"/>
      </c>
      <c r="L318" s="28">
        <f t="shared" si="149"/>
      </c>
    </row>
    <row r="319" spans="1:12" ht="12.75">
      <c r="A319" s="6">
        <f t="shared" si="129"/>
        <v>45748</v>
      </c>
      <c r="B319" s="19">
        <f t="shared" si="140"/>
        <v>309</v>
      </c>
      <c r="C319" s="26">
        <f t="shared" si="141"/>
      </c>
      <c r="D319" s="26">
        <f t="shared" si="142"/>
      </c>
      <c r="E319" s="26">
        <f t="shared" si="143"/>
      </c>
      <c r="F319" s="26">
        <f t="shared" si="144"/>
        <v>0</v>
      </c>
      <c r="G319" s="21">
        <f t="shared" si="145"/>
      </c>
      <c r="H319" s="28">
        <f>IF(F318&lt;0.5,"",IF(OR(YEAR(A319)&lt;YEAR(A320),F319&lt;0.5),SUM($G$11:G319)-SUM($H$11:H318),""))</f>
      </c>
      <c r="I319" s="30">
        <f t="shared" si="146"/>
      </c>
      <c r="J319" s="30">
        <f t="shared" si="147"/>
      </c>
      <c r="K319" s="31">
        <f t="shared" si="148"/>
      </c>
      <c r="L319" s="28">
        <f t="shared" si="149"/>
      </c>
    </row>
    <row r="320" spans="1:12" ht="12.75">
      <c r="A320" s="6">
        <f t="shared" si="129"/>
        <v>45778</v>
      </c>
      <c r="B320" s="19">
        <f t="shared" si="140"/>
        <v>310</v>
      </c>
      <c r="C320" s="26">
        <f t="shared" si="141"/>
      </c>
      <c r="D320" s="26">
        <f t="shared" si="142"/>
      </c>
      <c r="E320" s="26">
        <f t="shared" si="143"/>
      </c>
      <c r="F320" s="26">
        <f t="shared" si="144"/>
        <v>0</v>
      </c>
      <c r="G320" s="21">
        <f t="shared" si="145"/>
      </c>
      <c r="H320" s="28">
        <f>IF(F319&lt;0.5,"",IF(OR(YEAR(A320)&lt;YEAR(A321),F320&lt;0.5),SUM($G$11:G320)-SUM($H$11:H319),""))</f>
      </c>
      <c r="I320" s="30">
        <f t="shared" si="146"/>
      </c>
      <c r="J320" s="30">
        <f t="shared" si="147"/>
      </c>
      <c r="K320" s="31">
        <f t="shared" si="148"/>
      </c>
      <c r="L320" s="28">
        <f t="shared" si="149"/>
      </c>
    </row>
    <row r="321" spans="1:12" ht="12.75">
      <c r="A321" s="6">
        <f t="shared" si="129"/>
        <v>45809</v>
      </c>
      <c r="B321" s="19">
        <f t="shared" si="140"/>
        <v>311</v>
      </c>
      <c r="C321" s="26">
        <f t="shared" si="141"/>
      </c>
      <c r="D321" s="26">
        <f t="shared" si="142"/>
      </c>
      <c r="E321" s="26">
        <f t="shared" si="143"/>
      </c>
      <c r="F321" s="26">
        <f t="shared" si="144"/>
        <v>0</v>
      </c>
      <c r="G321" s="21">
        <f t="shared" si="145"/>
      </c>
      <c r="H321" s="28">
        <f>IF(F320&lt;0.5,"",IF(OR(YEAR(A321)&lt;YEAR(A322),F321&lt;0.5),SUM($G$11:G321)-SUM($H$11:H320),""))</f>
      </c>
      <c r="I321" s="30">
        <f t="shared" si="146"/>
      </c>
      <c r="J321" s="30">
        <f t="shared" si="147"/>
      </c>
      <c r="K321" s="31">
        <f t="shared" si="148"/>
      </c>
      <c r="L321" s="28">
        <f t="shared" si="149"/>
      </c>
    </row>
    <row r="322" spans="1:12" ht="12.75">
      <c r="A322" s="6">
        <f t="shared" si="129"/>
        <v>45839</v>
      </c>
      <c r="B322" s="19">
        <f t="shared" si="140"/>
        <v>312</v>
      </c>
      <c r="C322" s="26">
        <f t="shared" si="141"/>
      </c>
      <c r="D322" s="26">
        <f t="shared" si="142"/>
      </c>
      <c r="E322" s="26">
        <f t="shared" si="143"/>
      </c>
      <c r="F322" s="26">
        <f t="shared" si="144"/>
        <v>0</v>
      </c>
      <c r="G322" s="21">
        <f t="shared" si="145"/>
      </c>
      <c r="H322" s="28">
        <f>IF(F321&lt;0.5,"",IF(OR(YEAR(A322)&lt;YEAR(A323),F322&lt;0.5),SUM($G$11:G322)-SUM($H$11:H321),""))</f>
      </c>
      <c r="I322" s="30">
        <f t="shared" si="146"/>
      </c>
      <c r="J322" s="30">
        <f t="shared" si="147"/>
      </c>
      <c r="K322" s="31">
        <f t="shared" si="148"/>
      </c>
      <c r="L322" s="28">
        <f t="shared" si="149"/>
      </c>
    </row>
    <row r="323" spans="1:12" ht="12.75">
      <c r="A323" s="6">
        <f t="shared" si="129"/>
        <v>45870</v>
      </c>
      <c r="B323" s="19">
        <f t="shared" si="140"/>
        <v>313</v>
      </c>
      <c r="C323" s="26">
        <f t="shared" si="141"/>
      </c>
      <c r="D323" s="26">
        <f t="shared" si="142"/>
      </c>
      <c r="E323" s="26">
        <f t="shared" si="143"/>
      </c>
      <c r="F323" s="26">
        <f t="shared" si="144"/>
        <v>0</v>
      </c>
      <c r="G323" s="21">
        <f t="shared" si="145"/>
      </c>
      <c r="H323" s="28">
        <f>IF(F322&lt;0.5,"",IF(OR(YEAR(A323)&lt;YEAR(A324),F323&lt;0.5),SUM($G$11:G323)-SUM($H$11:H322),""))</f>
      </c>
      <c r="I323" s="30">
        <f t="shared" si="146"/>
      </c>
      <c r="J323" s="30">
        <f t="shared" si="147"/>
      </c>
      <c r="K323" s="31">
        <f t="shared" si="148"/>
      </c>
      <c r="L323" s="28">
        <f t="shared" si="149"/>
      </c>
    </row>
    <row r="324" spans="1:12" ht="12.75">
      <c r="A324" s="6">
        <f t="shared" si="129"/>
        <v>45901</v>
      </c>
      <c r="B324" s="19">
        <f t="shared" si="140"/>
        <v>314</v>
      </c>
      <c r="C324" s="26">
        <f t="shared" si="141"/>
      </c>
      <c r="D324" s="26">
        <f t="shared" si="142"/>
      </c>
      <c r="E324" s="26">
        <f t="shared" si="143"/>
      </c>
      <c r="F324" s="26">
        <f t="shared" si="144"/>
        <v>0</v>
      </c>
      <c r="G324" s="21">
        <f t="shared" si="145"/>
      </c>
      <c r="H324" s="28">
        <f>IF(F323&lt;0.5,"",IF(OR(YEAR(A324)&lt;YEAR(A325),F324&lt;0.5),SUM($G$11:G324)-SUM($H$11:H323),""))</f>
      </c>
      <c r="I324" s="30">
        <f t="shared" si="146"/>
      </c>
      <c r="J324" s="30">
        <f t="shared" si="147"/>
      </c>
      <c r="K324" s="31">
        <f t="shared" si="148"/>
      </c>
      <c r="L324" s="28">
        <f t="shared" si="149"/>
      </c>
    </row>
    <row r="325" spans="1:12" ht="12.75">
      <c r="A325" s="6">
        <f t="shared" si="129"/>
        <v>45931</v>
      </c>
      <c r="B325" s="19">
        <f t="shared" si="140"/>
        <v>315</v>
      </c>
      <c r="C325" s="26">
        <f t="shared" si="141"/>
      </c>
      <c r="D325" s="26">
        <f t="shared" si="142"/>
      </c>
      <c r="E325" s="26">
        <f t="shared" si="143"/>
      </c>
      <c r="F325" s="26">
        <f t="shared" si="144"/>
        <v>0</v>
      </c>
      <c r="G325" s="21">
        <f t="shared" si="145"/>
      </c>
      <c r="H325" s="28">
        <f>IF(F324&lt;0.5,"",IF(OR(YEAR(A325)&lt;YEAR(A326),F325&lt;0.5),SUM($G$11:G325)-SUM($H$11:H324),""))</f>
      </c>
      <c r="I325" s="30">
        <f t="shared" si="146"/>
      </c>
      <c r="J325" s="30">
        <f t="shared" si="147"/>
      </c>
      <c r="K325" s="31">
        <f t="shared" si="148"/>
      </c>
      <c r="L325" s="28">
        <f t="shared" si="149"/>
      </c>
    </row>
    <row r="326" spans="1:12" ht="12.75">
      <c r="A326" s="6">
        <f t="shared" si="129"/>
        <v>45962</v>
      </c>
      <c r="B326" s="19">
        <f t="shared" si="140"/>
        <v>316</v>
      </c>
      <c r="C326" s="26">
        <f t="shared" si="141"/>
      </c>
      <c r="D326" s="26">
        <f t="shared" si="142"/>
      </c>
      <c r="E326" s="26">
        <f t="shared" si="143"/>
      </c>
      <c r="F326" s="26">
        <f t="shared" si="144"/>
        <v>0</v>
      </c>
      <c r="G326" s="21">
        <f t="shared" si="145"/>
      </c>
      <c r="H326" s="28">
        <f>IF(F325&lt;0.5,"",IF(OR(YEAR(A326)&lt;YEAR(A327),F326&lt;0.5),SUM($G$11:G326)-SUM($H$11:H325),""))</f>
      </c>
      <c r="I326" s="30">
        <f t="shared" si="146"/>
      </c>
      <c r="J326" s="30">
        <f t="shared" si="147"/>
      </c>
      <c r="K326" s="31">
        <f t="shared" si="148"/>
      </c>
      <c r="L326" s="28">
        <f t="shared" si="149"/>
      </c>
    </row>
    <row r="327" spans="1:12" ht="12.75">
      <c r="A327" s="6">
        <f t="shared" si="129"/>
        <v>45992</v>
      </c>
      <c r="B327" s="19">
        <f t="shared" si="140"/>
        <v>317</v>
      </c>
      <c r="C327" s="26">
        <f t="shared" si="141"/>
      </c>
      <c r="D327" s="26">
        <f t="shared" si="142"/>
      </c>
      <c r="E327" s="26">
        <f t="shared" si="143"/>
      </c>
      <c r="F327" s="26">
        <f t="shared" si="144"/>
        <v>0</v>
      </c>
      <c r="G327" s="21">
        <f t="shared" si="145"/>
      </c>
      <c r="H327" s="28">
        <f>IF(F326&lt;0.5,"",IF(OR(YEAR(A327)&lt;YEAR(A328),F327&lt;0.5),SUM($G$11:G327)-SUM($H$11:H326),""))</f>
      </c>
      <c r="I327" s="30">
        <f t="shared" si="146"/>
      </c>
      <c r="J327" s="30">
        <f t="shared" si="147"/>
      </c>
      <c r="K327" s="31">
        <f t="shared" si="148"/>
      </c>
      <c r="L327" s="28">
        <f t="shared" si="149"/>
      </c>
    </row>
    <row r="328" spans="1:12" ht="12.75">
      <c r="A328" s="6">
        <f t="shared" si="129"/>
        <v>46023</v>
      </c>
      <c r="B328" s="19">
        <f t="shared" si="140"/>
        <v>318</v>
      </c>
      <c r="C328" s="26">
        <f t="shared" si="141"/>
      </c>
      <c r="D328" s="26">
        <f t="shared" si="142"/>
      </c>
      <c r="E328" s="26">
        <f t="shared" si="143"/>
      </c>
      <c r="F328" s="26">
        <f t="shared" si="144"/>
        <v>0</v>
      </c>
      <c r="G328" s="21">
        <f t="shared" si="145"/>
      </c>
      <c r="H328" s="28">
        <f>IF(F327&lt;0.5,"",IF(OR(YEAR(A328)&lt;YEAR(A329),F328&lt;0.5),SUM($G$11:G328)-SUM($H$11:H327),""))</f>
      </c>
      <c r="I328" s="30">
        <f t="shared" si="146"/>
      </c>
      <c r="J328" s="30">
        <f t="shared" si="147"/>
      </c>
      <c r="K328" s="31">
        <f t="shared" si="148"/>
      </c>
      <c r="L328" s="28">
        <f t="shared" si="149"/>
      </c>
    </row>
    <row r="329" spans="1:12" ht="12.75">
      <c r="A329" s="6">
        <f t="shared" si="129"/>
        <v>46054</v>
      </c>
      <c r="B329" s="19">
        <f t="shared" si="140"/>
        <v>319</v>
      </c>
      <c r="C329" s="26">
        <f t="shared" si="141"/>
      </c>
      <c r="D329" s="26">
        <f t="shared" si="142"/>
      </c>
      <c r="E329" s="26">
        <f t="shared" si="143"/>
      </c>
      <c r="F329" s="26">
        <f t="shared" si="144"/>
        <v>0</v>
      </c>
      <c r="G329" s="21">
        <f t="shared" si="145"/>
      </c>
      <c r="H329" s="28">
        <f>IF(F328&lt;0.5,"",IF(OR(YEAR(A329)&lt;YEAR(A330),F329&lt;0.5),SUM($G$11:G329)-SUM($H$11:H328),""))</f>
      </c>
      <c r="I329" s="30">
        <f t="shared" si="146"/>
      </c>
      <c r="J329" s="30">
        <f t="shared" si="147"/>
      </c>
      <c r="K329" s="31">
        <f t="shared" si="148"/>
      </c>
      <c r="L329" s="28">
        <f t="shared" si="149"/>
      </c>
    </row>
    <row r="330" spans="1:12" ht="12.75">
      <c r="A330" s="6">
        <f t="shared" si="129"/>
        <v>46082</v>
      </c>
      <c r="B330" s="19">
        <f t="shared" si="140"/>
        <v>320</v>
      </c>
      <c r="C330" s="26">
        <f t="shared" si="141"/>
      </c>
      <c r="D330" s="26">
        <f t="shared" si="142"/>
      </c>
      <c r="E330" s="26">
        <f t="shared" si="143"/>
      </c>
      <c r="F330" s="26">
        <f t="shared" si="144"/>
        <v>0</v>
      </c>
      <c r="G330" s="21">
        <f t="shared" si="145"/>
      </c>
      <c r="H330" s="28">
        <f>IF(F329&lt;0.5,"",IF(OR(YEAR(A330)&lt;YEAR(A331),F330&lt;0.5),SUM($G$11:G330)-SUM($H$11:H329),""))</f>
      </c>
      <c r="I330" s="30">
        <f t="shared" si="146"/>
      </c>
      <c r="J330" s="30">
        <f t="shared" si="147"/>
      </c>
      <c r="K330" s="31">
        <f t="shared" si="148"/>
      </c>
      <c r="L330" s="28">
        <f t="shared" si="149"/>
      </c>
    </row>
    <row r="331" spans="1:12" ht="12.75">
      <c r="A331" s="6">
        <f t="shared" si="129"/>
        <v>46113</v>
      </c>
      <c r="B331" s="19">
        <f t="shared" si="140"/>
        <v>321</v>
      </c>
      <c r="C331" s="26">
        <f t="shared" si="141"/>
      </c>
      <c r="D331" s="26">
        <f t="shared" si="142"/>
      </c>
      <c r="E331" s="26">
        <f t="shared" si="143"/>
      </c>
      <c r="F331" s="26">
        <f t="shared" si="144"/>
        <v>0</v>
      </c>
      <c r="G331" s="21">
        <f t="shared" si="145"/>
      </c>
      <c r="H331" s="28">
        <f>IF(F330&lt;0.5,"",IF(OR(YEAR(A331)&lt;YEAR(A332),F331&lt;0.5),SUM($G$11:G331)-SUM($H$11:H330),""))</f>
      </c>
      <c r="I331" s="30">
        <f t="shared" si="146"/>
      </c>
      <c r="J331" s="30">
        <f t="shared" si="147"/>
      </c>
      <c r="K331" s="31">
        <f t="shared" si="148"/>
      </c>
      <c r="L331" s="28">
        <f t="shared" si="149"/>
      </c>
    </row>
    <row r="332" spans="1:12" ht="12.75">
      <c r="A332" s="6">
        <f t="shared" si="129"/>
        <v>46143</v>
      </c>
      <c r="B332" s="19">
        <f t="shared" si="140"/>
        <v>322</v>
      </c>
      <c r="C332" s="26">
        <f t="shared" si="141"/>
      </c>
      <c r="D332" s="26">
        <f t="shared" si="142"/>
      </c>
      <c r="E332" s="26">
        <f t="shared" si="143"/>
      </c>
      <c r="F332" s="26">
        <f t="shared" si="144"/>
        <v>0</v>
      </c>
      <c r="G332" s="21">
        <f t="shared" si="145"/>
      </c>
      <c r="H332" s="28">
        <f>IF(F331&lt;0.5,"",IF(OR(YEAR(A332)&lt;YEAR(A333),F332&lt;0.5),SUM($G$11:G332)-SUM($H$11:H331),""))</f>
      </c>
      <c r="I332" s="30">
        <f t="shared" si="146"/>
      </c>
      <c r="J332" s="30">
        <f t="shared" si="147"/>
      </c>
      <c r="K332" s="31">
        <f t="shared" si="148"/>
      </c>
      <c r="L332" s="28">
        <f t="shared" si="149"/>
      </c>
    </row>
    <row r="333" spans="1:12" ht="12.75">
      <c r="A333" s="6">
        <f aca="true" t="shared" si="150" ref="A333:A370">IF($C$6&lt;27,DATE((YEAR(A332)-1900),MONTH(A332)+1,$C$6),DATE((YEAR(A332)-1900),MONTH(A332)+2,1)-1)</f>
        <v>46174</v>
      </c>
      <c r="B333" s="19">
        <f t="shared" si="140"/>
        <v>323</v>
      </c>
      <c r="C333" s="26">
        <f t="shared" si="141"/>
      </c>
      <c r="D333" s="26">
        <f t="shared" si="142"/>
      </c>
      <c r="E333" s="26">
        <f t="shared" si="143"/>
      </c>
      <c r="F333" s="26">
        <f t="shared" si="144"/>
        <v>0</v>
      </c>
      <c r="G333" s="21">
        <f t="shared" si="145"/>
      </c>
      <c r="H333" s="28">
        <f>IF(F332&lt;0.5,"",IF(OR(YEAR(A333)&lt;YEAR(A334),F333&lt;0.5),SUM($G$11:G333)-SUM($H$11:H332),""))</f>
      </c>
      <c r="I333" s="30">
        <f t="shared" si="146"/>
      </c>
      <c r="J333" s="30">
        <f t="shared" si="147"/>
      </c>
      <c r="K333" s="31">
        <f t="shared" si="148"/>
      </c>
      <c r="L333" s="28">
        <f t="shared" si="149"/>
      </c>
    </row>
    <row r="334" spans="1:12" ht="12.75">
      <c r="A334" s="6">
        <f t="shared" si="150"/>
        <v>46204</v>
      </c>
      <c r="B334" s="19">
        <f t="shared" si="140"/>
        <v>324</v>
      </c>
      <c r="C334" s="26">
        <f t="shared" si="141"/>
      </c>
      <c r="D334" s="26">
        <f t="shared" si="142"/>
      </c>
      <c r="E334" s="26">
        <f t="shared" si="143"/>
      </c>
      <c r="F334" s="26">
        <f t="shared" si="144"/>
        <v>0</v>
      </c>
      <c r="G334" s="21">
        <f t="shared" si="145"/>
      </c>
      <c r="H334" s="28">
        <f>IF(F333&lt;0.5,"",IF(OR(YEAR(A334)&lt;YEAR(A335),F334&lt;0.5),SUM($G$11:G334)-SUM($H$11:H333),""))</f>
      </c>
      <c r="I334" s="30">
        <f t="shared" si="146"/>
      </c>
      <c r="J334" s="30">
        <f t="shared" si="147"/>
      </c>
      <c r="K334" s="31">
        <f t="shared" si="148"/>
      </c>
      <c r="L334" s="28">
        <f t="shared" si="149"/>
      </c>
    </row>
    <row r="335" spans="1:12" ht="12.75">
      <c r="A335" s="6">
        <f t="shared" si="150"/>
        <v>46235</v>
      </c>
      <c r="B335" s="19">
        <f t="shared" si="140"/>
        <v>325</v>
      </c>
      <c r="C335" s="26">
        <f t="shared" si="141"/>
      </c>
      <c r="D335" s="26">
        <f t="shared" si="142"/>
      </c>
      <c r="E335" s="26">
        <f t="shared" si="143"/>
      </c>
      <c r="F335" s="26">
        <f t="shared" si="144"/>
        <v>0</v>
      </c>
      <c r="G335" s="21">
        <f t="shared" si="145"/>
      </c>
      <c r="H335" s="28">
        <f>IF(F334&lt;0.5,"",IF(OR(YEAR(A335)&lt;YEAR(A336),F335&lt;0.5),SUM($G$11:G335)-SUM($H$11:H334),""))</f>
      </c>
      <c r="I335" s="30">
        <f t="shared" si="146"/>
      </c>
      <c r="J335" s="30">
        <f t="shared" si="147"/>
      </c>
      <c r="K335" s="31">
        <f t="shared" si="148"/>
      </c>
      <c r="L335" s="28">
        <f t="shared" si="149"/>
      </c>
    </row>
    <row r="336" spans="1:12" ht="12.75">
      <c r="A336" s="6">
        <f t="shared" si="150"/>
        <v>46266</v>
      </c>
      <c r="B336" s="19">
        <f t="shared" si="140"/>
        <v>326</v>
      </c>
      <c r="C336" s="26">
        <f t="shared" si="141"/>
      </c>
      <c r="D336" s="26">
        <f t="shared" si="142"/>
      </c>
      <c r="E336" s="26">
        <f t="shared" si="143"/>
      </c>
      <c r="F336" s="26">
        <f t="shared" si="144"/>
        <v>0</v>
      </c>
      <c r="G336" s="21">
        <f t="shared" si="145"/>
      </c>
      <c r="H336" s="28">
        <f>IF(F335&lt;0.5,"",IF(OR(YEAR(A336)&lt;YEAR(A337),F336&lt;0.5),SUM($G$11:G336)-SUM($H$11:H335),""))</f>
      </c>
      <c r="I336" s="30">
        <f t="shared" si="146"/>
      </c>
      <c r="J336" s="30">
        <f t="shared" si="147"/>
      </c>
      <c r="K336" s="31">
        <f t="shared" si="148"/>
      </c>
      <c r="L336" s="28">
        <f t="shared" si="149"/>
      </c>
    </row>
    <row r="337" spans="1:12" ht="12.75">
      <c r="A337" s="6">
        <f t="shared" si="150"/>
        <v>46296</v>
      </c>
      <c r="B337" s="19">
        <f t="shared" si="140"/>
        <v>327</v>
      </c>
      <c r="C337" s="26">
        <f t="shared" si="141"/>
      </c>
      <c r="D337" s="26">
        <f t="shared" si="142"/>
      </c>
      <c r="E337" s="26">
        <f t="shared" si="143"/>
      </c>
      <c r="F337" s="26">
        <f t="shared" si="144"/>
        <v>0</v>
      </c>
      <c r="G337" s="21">
        <f t="shared" si="145"/>
      </c>
      <c r="H337" s="28">
        <f>IF(F336&lt;0.5,"",IF(OR(YEAR(A337)&lt;YEAR(A338),F337&lt;0.5),SUM($G$11:G337)-SUM($H$11:H336),""))</f>
      </c>
      <c r="I337" s="30">
        <f t="shared" si="146"/>
      </c>
      <c r="J337" s="30">
        <f t="shared" si="147"/>
      </c>
      <c r="K337" s="31">
        <f t="shared" si="148"/>
      </c>
      <c r="L337" s="28">
        <f t="shared" si="149"/>
      </c>
    </row>
    <row r="338" spans="1:12" ht="12.75">
      <c r="A338" s="6">
        <f t="shared" si="150"/>
        <v>46327</v>
      </c>
      <c r="B338" s="19">
        <f t="shared" si="140"/>
        <v>328</v>
      </c>
      <c r="C338" s="26">
        <f t="shared" si="141"/>
      </c>
      <c r="D338" s="26">
        <f t="shared" si="142"/>
      </c>
      <c r="E338" s="26">
        <f t="shared" si="143"/>
      </c>
      <c r="F338" s="26">
        <f t="shared" si="144"/>
        <v>0</v>
      </c>
      <c r="G338" s="21">
        <f t="shared" si="145"/>
      </c>
      <c r="H338" s="28">
        <f>IF(F337&lt;0.5,"",IF(OR(YEAR(A338)&lt;YEAR(A339),F338&lt;0.5),SUM($G$11:G338)-SUM($H$11:H337),""))</f>
      </c>
      <c r="I338" s="30">
        <f t="shared" si="146"/>
      </c>
      <c r="J338" s="30">
        <f t="shared" si="147"/>
      </c>
      <c r="K338" s="31">
        <f t="shared" si="148"/>
      </c>
      <c r="L338" s="28">
        <f t="shared" si="149"/>
      </c>
    </row>
    <row r="339" spans="1:12" ht="12.75">
      <c r="A339" s="6">
        <f t="shared" si="150"/>
        <v>46357</v>
      </c>
      <c r="B339" s="19">
        <f t="shared" si="140"/>
        <v>329</v>
      </c>
      <c r="C339" s="26">
        <f t="shared" si="141"/>
      </c>
      <c r="D339" s="26">
        <f t="shared" si="142"/>
      </c>
      <c r="E339" s="26">
        <f t="shared" si="143"/>
      </c>
      <c r="F339" s="26">
        <f t="shared" si="144"/>
        <v>0</v>
      </c>
      <c r="G339" s="21">
        <f t="shared" si="145"/>
      </c>
      <c r="H339" s="28">
        <f>IF(F338&lt;0.5,"",IF(OR(YEAR(A339)&lt;YEAR(A340),F339&lt;0.5),SUM($G$11:G339)-SUM($H$11:H338),""))</f>
      </c>
      <c r="I339" s="30">
        <f t="shared" si="146"/>
      </c>
      <c r="J339" s="30">
        <f t="shared" si="147"/>
      </c>
      <c r="K339" s="31">
        <f t="shared" si="148"/>
      </c>
      <c r="L339" s="28">
        <f t="shared" si="149"/>
      </c>
    </row>
    <row r="340" spans="1:12" ht="12.75">
      <c r="A340" s="6">
        <f t="shared" si="150"/>
        <v>46388</v>
      </c>
      <c r="B340" s="19">
        <f t="shared" si="140"/>
        <v>330</v>
      </c>
      <c r="C340" s="26">
        <f t="shared" si="141"/>
      </c>
      <c r="D340" s="26">
        <f t="shared" si="142"/>
      </c>
      <c r="E340" s="26">
        <f t="shared" si="143"/>
      </c>
      <c r="F340" s="26">
        <f t="shared" si="144"/>
        <v>0</v>
      </c>
      <c r="G340" s="21">
        <f t="shared" si="145"/>
      </c>
      <c r="H340" s="28">
        <f>IF(F339&lt;0.5,"",IF(OR(YEAR(A340)&lt;YEAR(A341),F340&lt;0.5),SUM($G$11:G340)-SUM($H$11:H339),""))</f>
      </c>
      <c r="I340" s="30">
        <f t="shared" si="146"/>
      </c>
      <c r="J340" s="30">
        <f t="shared" si="147"/>
      </c>
      <c r="K340" s="31">
        <f t="shared" si="148"/>
      </c>
      <c r="L340" s="28">
        <f t="shared" si="149"/>
      </c>
    </row>
    <row r="341" spans="1:12" ht="12.75">
      <c r="A341" s="6">
        <f t="shared" si="150"/>
        <v>46419</v>
      </c>
      <c r="B341" s="19">
        <f t="shared" si="140"/>
        <v>331</v>
      </c>
      <c r="C341" s="26">
        <f t="shared" si="141"/>
      </c>
      <c r="D341" s="26">
        <f t="shared" si="142"/>
      </c>
      <c r="E341" s="26">
        <f t="shared" si="143"/>
      </c>
      <c r="F341" s="26">
        <f t="shared" si="144"/>
        <v>0</v>
      </c>
      <c r="G341" s="21">
        <f t="shared" si="145"/>
      </c>
      <c r="H341" s="28">
        <f>IF(F340&lt;0.5,"",IF(OR(YEAR(A341)&lt;YEAR(A342),F341&lt;0.5),SUM($G$11:G341)-SUM($H$11:H340),""))</f>
      </c>
      <c r="I341" s="30">
        <f t="shared" si="146"/>
      </c>
      <c r="J341" s="30">
        <f t="shared" si="147"/>
      </c>
      <c r="K341" s="31">
        <f t="shared" si="148"/>
      </c>
      <c r="L341" s="28">
        <f t="shared" si="149"/>
      </c>
    </row>
    <row r="342" spans="1:12" ht="12.75">
      <c r="A342" s="6">
        <f t="shared" si="150"/>
        <v>46447</v>
      </c>
      <c r="B342" s="19">
        <f t="shared" si="140"/>
        <v>332</v>
      </c>
      <c r="C342" s="26">
        <f t="shared" si="141"/>
      </c>
      <c r="D342" s="26">
        <f t="shared" si="142"/>
      </c>
      <c r="E342" s="26">
        <f t="shared" si="143"/>
      </c>
      <c r="F342" s="26">
        <f t="shared" si="144"/>
        <v>0</v>
      </c>
      <c r="G342" s="21">
        <f t="shared" si="145"/>
      </c>
      <c r="H342" s="28">
        <f>IF(F341&lt;0.5,"",IF(OR(YEAR(A342)&lt;YEAR(A343),F342&lt;0.5),SUM($G$11:G342)-SUM($H$11:H341),""))</f>
      </c>
      <c r="I342" s="30">
        <f t="shared" si="146"/>
      </c>
      <c r="J342" s="30">
        <f t="shared" si="147"/>
      </c>
      <c r="K342" s="31">
        <f t="shared" si="148"/>
      </c>
      <c r="L342" s="28">
        <f t="shared" si="149"/>
      </c>
    </row>
    <row r="343" spans="1:12" ht="12.75">
      <c r="A343" s="6">
        <f t="shared" si="150"/>
        <v>46478</v>
      </c>
      <c r="B343" s="19">
        <f t="shared" si="140"/>
        <v>333</v>
      </c>
      <c r="C343" s="26">
        <f t="shared" si="141"/>
      </c>
      <c r="D343" s="26">
        <f t="shared" si="142"/>
      </c>
      <c r="E343" s="26">
        <f t="shared" si="143"/>
      </c>
      <c r="F343" s="26">
        <f t="shared" si="144"/>
        <v>0</v>
      </c>
      <c r="G343" s="21">
        <f t="shared" si="145"/>
      </c>
      <c r="H343" s="28">
        <f>IF(F342&lt;0.5,"",IF(OR(YEAR(A343)&lt;YEAR(A344),F343&lt;0.5),SUM($G$11:G343)-SUM($H$11:H342),""))</f>
      </c>
      <c r="I343" s="30">
        <f t="shared" si="146"/>
      </c>
      <c r="J343" s="30">
        <f t="shared" si="147"/>
      </c>
      <c r="K343" s="31">
        <f t="shared" si="148"/>
      </c>
      <c r="L343" s="28">
        <f t="shared" si="149"/>
      </c>
    </row>
    <row r="344" spans="1:12" ht="12.75">
      <c r="A344" s="6">
        <f t="shared" si="150"/>
        <v>46508</v>
      </c>
      <c r="B344" s="19">
        <f t="shared" si="140"/>
        <v>334</v>
      </c>
      <c r="C344" s="26">
        <f t="shared" si="141"/>
      </c>
      <c r="D344" s="26">
        <f t="shared" si="142"/>
      </c>
      <c r="E344" s="26">
        <f t="shared" si="143"/>
      </c>
      <c r="F344" s="26">
        <f t="shared" si="144"/>
        <v>0</v>
      </c>
      <c r="G344" s="21">
        <f t="shared" si="145"/>
      </c>
      <c r="H344" s="28">
        <f>IF(F343&lt;0.5,"",IF(OR(YEAR(A344)&lt;YEAR(A345),F344&lt;0.5),SUM($G$11:G344)-SUM($H$11:H343),""))</f>
      </c>
      <c r="I344" s="30">
        <f t="shared" si="146"/>
      </c>
      <c r="J344" s="30">
        <f t="shared" si="147"/>
      </c>
      <c r="K344" s="31">
        <f t="shared" si="148"/>
      </c>
      <c r="L344" s="28">
        <f t="shared" si="149"/>
      </c>
    </row>
    <row r="345" spans="1:12" ht="12.75">
      <c r="A345" s="6">
        <f t="shared" si="150"/>
        <v>46539</v>
      </c>
      <c r="B345" s="19">
        <f t="shared" si="140"/>
        <v>335</v>
      </c>
      <c r="C345" s="26">
        <f t="shared" si="141"/>
      </c>
      <c r="D345" s="26">
        <f t="shared" si="142"/>
      </c>
      <c r="E345" s="26">
        <f t="shared" si="143"/>
      </c>
      <c r="F345" s="26">
        <f t="shared" si="144"/>
        <v>0</v>
      </c>
      <c r="G345" s="21">
        <f t="shared" si="145"/>
      </c>
      <c r="H345" s="28">
        <f>IF(F344&lt;0.5,"",IF(OR(YEAR(A345)&lt;YEAR(A346),F345&lt;0.5),SUM($G$11:G345)-SUM($H$11:H344),""))</f>
      </c>
      <c r="I345" s="30">
        <f t="shared" si="146"/>
      </c>
      <c r="J345" s="30">
        <f t="shared" si="147"/>
      </c>
      <c r="K345" s="31">
        <f t="shared" si="148"/>
      </c>
      <c r="L345" s="28">
        <f t="shared" si="149"/>
      </c>
    </row>
    <row r="346" spans="1:12" ht="12.75">
      <c r="A346" s="6">
        <f t="shared" si="150"/>
        <v>46569</v>
      </c>
      <c r="B346" s="19">
        <f t="shared" si="140"/>
        <v>336</v>
      </c>
      <c r="C346" s="26">
        <f t="shared" si="141"/>
      </c>
      <c r="D346" s="26">
        <f t="shared" si="142"/>
      </c>
      <c r="E346" s="26">
        <f t="shared" si="143"/>
      </c>
      <c r="F346" s="26">
        <f t="shared" si="144"/>
        <v>0</v>
      </c>
      <c r="G346" s="21">
        <f t="shared" si="145"/>
      </c>
      <c r="H346" s="28">
        <f>IF(F345&lt;0.5,"",IF(OR(YEAR(A346)&lt;YEAR(A347),F346&lt;0.5),SUM($G$11:G346)-SUM($H$11:H345),""))</f>
      </c>
      <c r="I346" s="30">
        <f t="shared" si="146"/>
      </c>
      <c r="J346" s="30">
        <f t="shared" si="147"/>
      </c>
      <c r="K346" s="31">
        <f t="shared" si="148"/>
      </c>
      <c r="L346" s="28">
        <f t="shared" si="149"/>
      </c>
    </row>
    <row r="347" spans="1:12" ht="12.75">
      <c r="A347" s="6">
        <f t="shared" si="150"/>
        <v>46600</v>
      </c>
      <c r="B347" s="19">
        <f t="shared" si="140"/>
        <v>337</v>
      </c>
      <c r="C347" s="26">
        <f t="shared" si="141"/>
      </c>
      <c r="D347" s="26">
        <f t="shared" si="142"/>
      </c>
      <c r="E347" s="26">
        <f t="shared" si="143"/>
      </c>
      <c r="F347" s="26">
        <f t="shared" si="144"/>
        <v>0</v>
      </c>
      <c r="G347" s="21">
        <f t="shared" si="145"/>
      </c>
      <c r="H347" s="28">
        <f>IF(F346&lt;0.5,"",IF(OR(YEAR(A347)&lt;YEAR(A348),F347&lt;0.5),SUM($G$11:G347)-SUM($H$11:H346),""))</f>
      </c>
      <c r="I347" s="30">
        <f t="shared" si="146"/>
      </c>
      <c r="J347" s="30">
        <f t="shared" si="147"/>
      </c>
      <c r="K347" s="31">
        <f t="shared" si="148"/>
      </c>
      <c r="L347" s="28">
        <f t="shared" si="149"/>
      </c>
    </row>
    <row r="348" spans="1:12" ht="12.75">
      <c r="A348" s="6">
        <f t="shared" si="150"/>
        <v>46631</v>
      </c>
      <c r="B348" s="19">
        <f t="shared" si="140"/>
        <v>338</v>
      </c>
      <c r="C348" s="26">
        <f t="shared" si="141"/>
      </c>
      <c r="D348" s="26">
        <f t="shared" si="142"/>
      </c>
      <c r="E348" s="26">
        <f t="shared" si="143"/>
      </c>
      <c r="F348" s="26">
        <f t="shared" si="144"/>
        <v>0</v>
      </c>
      <c r="G348" s="21">
        <f t="shared" si="145"/>
      </c>
      <c r="H348" s="28">
        <f>IF(F347&lt;0.5,"",IF(OR(YEAR(A348)&lt;YEAR(A349),F348&lt;0.5),SUM($G$11:G348)-SUM($H$11:H347),""))</f>
      </c>
      <c r="I348" s="30">
        <f t="shared" si="146"/>
      </c>
      <c r="J348" s="30">
        <f t="shared" si="147"/>
      </c>
      <c r="K348" s="31">
        <f t="shared" si="148"/>
      </c>
      <c r="L348" s="28">
        <f t="shared" si="149"/>
      </c>
    </row>
    <row r="349" spans="1:12" ht="12.75">
      <c r="A349" s="6">
        <f t="shared" si="150"/>
        <v>46661</v>
      </c>
      <c r="B349" s="19">
        <f t="shared" si="140"/>
        <v>339</v>
      </c>
      <c r="C349" s="26">
        <f t="shared" si="141"/>
      </c>
      <c r="D349" s="26">
        <f t="shared" si="142"/>
      </c>
      <c r="E349" s="26">
        <f t="shared" si="143"/>
      </c>
      <c r="F349" s="26">
        <f t="shared" si="144"/>
        <v>0</v>
      </c>
      <c r="G349" s="21">
        <f t="shared" si="145"/>
      </c>
      <c r="H349" s="28">
        <f>IF(F348&lt;0.5,"",IF(OR(YEAR(A349)&lt;YEAR(A350),F349&lt;0.5),SUM($G$11:G349)-SUM($H$11:H348),""))</f>
      </c>
      <c r="I349" s="30">
        <f t="shared" si="146"/>
      </c>
      <c r="J349" s="30">
        <f t="shared" si="147"/>
      </c>
      <c r="K349" s="31">
        <f t="shared" si="148"/>
      </c>
      <c r="L349" s="28">
        <f t="shared" si="149"/>
      </c>
    </row>
    <row r="350" spans="1:12" ht="12.75">
      <c r="A350" s="6">
        <f t="shared" si="150"/>
        <v>46692</v>
      </c>
      <c r="B350" s="19">
        <f t="shared" si="140"/>
        <v>340</v>
      </c>
      <c r="C350" s="26">
        <f t="shared" si="141"/>
      </c>
      <c r="D350" s="26">
        <f t="shared" si="142"/>
      </c>
      <c r="E350" s="26">
        <f t="shared" si="143"/>
      </c>
      <c r="F350" s="26">
        <f t="shared" si="144"/>
        <v>0</v>
      </c>
      <c r="G350" s="21">
        <f t="shared" si="145"/>
      </c>
      <c r="H350" s="28">
        <f>IF(F349&lt;0.5,"",IF(OR(YEAR(A350)&lt;YEAR(A351),F350&lt;0.5),SUM($G$11:G350)-SUM($H$11:H349),""))</f>
      </c>
      <c r="I350" s="30">
        <f t="shared" si="146"/>
      </c>
      <c r="J350" s="30">
        <f t="shared" si="147"/>
      </c>
      <c r="K350" s="31">
        <f t="shared" si="148"/>
      </c>
      <c r="L350" s="28">
        <f t="shared" si="149"/>
      </c>
    </row>
    <row r="351" spans="1:12" ht="12.75">
      <c r="A351" s="6">
        <f t="shared" si="150"/>
        <v>46722</v>
      </c>
      <c r="B351" s="19">
        <f t="shared" si="140"/>
        <v>341</v>
      </c>
      <c r="C351" s="26">
        <f t="shared" si="141"/>
      </c>
      <c r="D351" s="26">
        <f t="shared" si="142"/>
      </c>
      <c r="E351" s="26">
        <f t="shared" si="143"/>
      </c>
      <c r="F351" s="26">
        <f t="shared" si="144"/>
        <v>0</v>
      </c>
      <c r="G351" s="21">
        <f t="shared" si="145"/>
      </c>
      <c r="H351" s="28">
        <f>IF(F350&lt;0.5,"",IF(OR(YEAR(A351)&lt;YEAR(A352),F351&lt;0.5),SUM($G$11:G351)-SUM($H$11:H350),""))</f>
      </c>
      <c r="I351" s="30">
        <f t="shared" si="146"/>
      </c>
      <c r="J351" s="30">
        <f t="shared" si="147"/>
      </c>
      <c r="K351" s="31">
        <f t="shared" si="148"/>
      </c>
      <c r="L351" s="28">
        <f t="shared" si="149"/>
      </c>
    </row>
    <row r="352" spans="1:12" ht="12.75">
      <c r="A352" s="6">
        <f t="shared" si="150"/>
        <v>46753</v>
      </c>
      <c r="B352" s="19">
        <f t="shared" si="140"/>
        <v>342</v>
      </c>
      <c r="C352" s="26">
        <f t="shared" si="141"/>
      </c>
      <c r="D352" s="26">
        <f t="shared" si="142"/>
      </c>
      <c r="E352" s="26">
        <f t="shared" si="143"/>
      </c>
      <c r="F352" s="26">
        <f t="shared" si="144"/>
        <v>0</v>
      </c>
      <c r="G352" s="21">
        <f t="shared" si="145"/>
      </c>
      <c r="H352" s="28">
        <f>IF(F351&lt;0.5,"",IF(OR(YEAR(A352)&lt;YEAR(A353),F352&lt;0.5),SUM($G$11:G352)-SUM($H$11:H351),""))</f>
      </c>
      <c r="I352" s="30">
        <f t="shared" si="146"/>
      </c>
      <c r="J352" s="30">
        <f t="shared" si="147"/>
      </c>
      <c r="K352" s="31">
        <f t="shared" si="148"/>
      </c>
      <c r="L352" s="28">
        <f t="shared" si="149"/>
      </c>
    </row>
    <row r="353" spans="1:12" ht="12.75">
      <c r="A353" s="6">
        <f t="shared" si="150"/>
        <v>46784</v>
      </c>
      <c r="B353" s="19">
        <f t="shared" si="140"/>
        <v>343</v>
      </c>
      <c r="C353" s="26">
        <f t="shared" si="141"/>
      </c>
      <c r="D353" s="26">
        <f t="shared" si="142"/>
      </c>
      <c r="E353" s="26">
        <f t="shared" si="143"/>
      </c>
      <c r="F353" s="26">
        <f t="shared" si="144"/>
        <v>0</v>
      </c>
      <c r="G353" s="21">
        <f t="shared" si="145"/>
      </c>
      <c r="H353" s="28">
        <f>IF(F352&lt;0.5,"",IF(OR(YEAR(A353)&lt;YEAR(A354),F353&lt;0.5),SUM($G$11:G353)-SUM($H$11:H352),""))</f>
      </c>
      <c r="I353" s="30">
        <f t="shared" si="146"/>
      </c>
      <c r="J353" s="30">
        <f t="shared" si="147"/>
      </c>
      <c r="K353" s="31">
        <f t="shared" si="148"/>
      </c>
      <c r="L353" s="28">
        <f t="shared" si="149"/>
      </c>
    </row>
    <row r="354" spans="1:12" ht="12.75">
      <c r="A354" s="6">
        <f t="shared" si="150"/>
        <v>46813</v>
      </c>
      <c r="B354" s="19">
        <f t="shared" si="140"/>
        <v>344</v>
      </c>
      <c r="C354" s="26">
        <f t="shared" si="141"/>
      </c>
      <c r="D354" s="26">
        <f t="shared" si="142"/>
      </c>
      <c r="E354" s="26">
        <f t="shared" si="143"/>
      </c>
      <c r="F354" s="26">
        <f t="shared" si="144"/>
        <v>0</v>
      </c>
      <c r="G354" s="21">
        <f t="shared" si="145"/>
      </c>
      <c r="H354" s="28">
        <f>IF(F353&lt;0.5,"",IF(OR(YEAR(A354)&lt;YEAR(A355),F354&lt;0.5),SUM($G$11:G354)-SUM($H$11:H353),""))</f>
      </c>
      <c r="I354" s="30">
        <f t="shared" si="146"/>
      </c>
      <c r="J354" s="30">
        <f t="shared" si="147"/>
      </c>
      <c r="K354" s="31">
        <f t="shared" si="148"/>
      </c>
      <c r="L354" s="28">
        <f t="shared" si="149"/>
      </c>
    </row>
    <row r="355" spans="1:12" ht="12.75">
      <c r="A355" s="6">
        <f t="shared" si="150"/>
        <v>46844</v>
      </c>
      <c r="B355" s="19">
        <f t="shared" si="140"/>
        <v>345</v>
      </c>
      <c r="C355" s="26">
        <f t="shared" si="141"/>
      </c>
      <c r="D355" s="26">
        <f t="shared" si="142"/>
      </c>
      <c r="E355" s="26">
        <f t="shared" si="143"/>
      </c>
      <c r="F355" s="26">
        <f t="shared" si="144"/>
        <v>0</v>
      </c>
      <c r="G355" s="21">
        <f t="shared" si="145"/>
      </c>
      <c r="H355" s="28">
        <f>IF(F354&lt;0.5,"",IF(OR(YEAR(A355)&lt;YEAR(A356),F355&lt;0.5),SUM($G$11:G355)-SUM($H$11:H354),""))</f>
      </c>
      <c r="I355" s="30">
        <f t="shared" si="146"/>
      </c>
      <c r="J355" s="30">
        <f t="shared" si="147"/>
      </c>
      <c r="K355" s="31">
        <f t="shared" si="148"/>
      </c>
      <c r="L355" s="28">
        <f t="shared" si="149"/>
      </c>
    </row>
    <row r="356" spans="1:12" ht="12.75">
      <c r="A356" s="6">
        <f t="shared" si="150"/>
        <v>46874</v>
      </c>
      <c r="B356" s="19">
        <f t="shared" si="140"/>
        <v>346</v>
      </c>
      <c r="C356" s="26">
        <f t="shared" si="141"/>
      </c>
      <c r="D356" s="26">
        <f t="shared" si="142"/>
      </c>
      <c r="E356" s="26">
        <f t="shared" si="143"/>
      </c>
      <c r="F356" s="26">
        <f t="shared" si="144"/>
        <v>0</v>
      </c>
      <c r="G356" s="21">
        <f t="shared" si="145"/>
      </c>
      <c r="H356" s="28">
        <f>IF(F355&lt;0.5,"",IF(OR(YEAR(A356)&lt;YEAR(A357),F356&lt;0.5),SUM($G$11:G356)-SUM($H$11:H355),""))</f>
      </c>
      <c r="I356" s="30">
        <f t="shared" si="146"/>
      </c>
      <c r="J356" s="30">
        <f t="shared" si="147"/>
      </c>
      <c r="K356" s="31">
        <f t="shared" si="148"/>
      </c>
      <c r="L356" s="28">
        <f t="shared" si="149"/>
      </c>
    </row>
    <row r="357" spans="1:12" ht="12.75">
      <c r="A357" s="6">
        <f t="shared" si="150"/>
        <v>46905</v>
      </c>
      <c r="B357" s="19">
        <f t="shared" si="140"/>
        <v>347</v>
      </c>
      <c r="C357" s="26">
        <f t="shared" si="141"/>
      </c>
      <c r="D357" s="26">
        <f t="shared" si="142"/>
      </c>
      <c r="E357" s="26">
        <f t="shared" si="143"/>
      </c>
      <c r="F357" s="26">
        <f t="shared" si="144"/>
        <v>0</v>
      </c>
      <c r="G357" s="21">
        <f t="shared" si="145"/>
      </c>
      <c r="H357" s="28">
        <f>IF(F356&lt;0.5,"",IF(OR(YEAR(A357)&lt;YEAR(A358),F357&lt;0.5),SUM($G$11:G357)-SUM($H$11:H356),""))</f>
      </c>
      <c r="I357" s="30">
        <f t="shared" si="146"/>
      </c>
      <c r="J357" s="30">
        <f t="shared" si="147"/>
      </c>
      <c r="K357" s="31">
        <f t="shared" si="148"/>
      </c>
      <c r="L357" s="28">
        <f t="shared" si="149"/>
      </c>
    </row>
    <row r="358" spans="1:12" ht="12.75">
      <c r="A358" s="6">
        <f t="shared" si="150"/>
        <v>46935</v>
      </c>
      <c r="B358" s="19">
        <f t="shared" si="140"/>
        <v>348</v>
      </c>
      <c r="C358" s="26">
        <f t="shared" si="141"/>
      </c>
      <c r="D358" s="26">
        <f t="shared" si="142"/>
      </c>
      <c r="E358" s="26">
        <f t="shared" si="143"/>
      </c>
      <c r="F358" s="26">
        <f t="shared" si="144"/>
        <v>0</v>
      </c>
      <c r="G358" s="21">
        <f t="shared" si="145"/>
      </c>
      <c r="H358" s="28">
        <f>IF(F357&lt;0.5,"",IF(OR(YEAR(A358)&lt;YEAR(A359),F358&lt;0.5),SUM($G$11:G358)-SUM($H$11:H357),""))</f>
      </c>
      <c r="I358" s="30">
        <f t="shared" si="146"/>
      </c>
      <c r="J358" s="30">
        <f t="shared" si="147"/>
      </c>
      <c r="K358" s="31">
        <f t="shared" si="148"/>
      </c>
      <c r="L358" s="28">
        <f t="shared" si="149"/>
      </c>
    </row>
    <row r="359" spans="1:12" ht="12.75">
      <c r="A359" s="6">
        <f t="shared" si="150"/>
        <v>46966</v>
      </c>
      <c r="B359" s="19">
        <f t="shared" si="140"/>
        <v>349</v>
      </c>
      <c r="C359" s="26">
        <f t="shared" si="141"/>
      </c>
      <c r="D359" s="26">
        <f t="shared" si="142"/>
      </c>
      <c r="E359" s="26">
        <f t="shared" si="143"/>
      </c>
      <c r="F359" s="26">
        <f t="shared" si="144"/>
        <v>0</v>
      </c>
      <c r="G359" s="21">
        <f t="shared" si="145"/>
      </c>
      <c r="H359" s="28">
        <f>IF(F358&lt;0.5,"",IF(OR(YEAR(A359)&lt;YEAR(A360),F359&lt;0.5),SUM($G$11:G359)-SUM($H$11:H358),""))</f>
      </c>
      <c r="I359" s="30">
        <f t="shared" si="146"/>
      </c>
      <c r="J359" s="30">
        <f t="shared" si="147"/>
      </c>
      <c r="K359" s="31">
        <f t="shared" si="148"/>
      </c>
      <c r="L359" s="28">
        <f t="shared" si="149"/>
      </c>
    </row>
    <row r="360" spans="1:12" ht="12.75">
      <c r="A360" s="6">
        <f t="shared" si="150"/>
        <v>46997</v>
      </c>
      <c r="B360" s="19">
        <f t="shared" si="140"/>
        <v>350</v>
      </c>
      <c r="C360" s="26">
        <f t="shared" si="141"/>
      </c>
      <c r="D360" s="26">
        <f t="shared" si="142"/>
      </c>
      <c r="E360" s="26">
        <f t="shared" si="143"/>
      </c>
      <c r="F360" s="26">
        <f t="shared" si="144"/>
        <v>0</v>
      </c>
      <c r="G360" s="21">
        <f t="shared" si="145"/>
      </c>
      <c r="H360" s="28">
        <f>IF(F359&lt;0.5,"",IF(OR(YEAR(A360)&lt;YEAR(A361),F360&lt;0.5),SUM($G$11:G360)-SUM($H$11:H359),""))</f>
      </c>
      <c r="I360" s="30">
        <f t="shared" si="146"/>
      </c>
      <c r="J360" s="30">
        <f t="shared" si="147"/>
      </c>
      <c r="K360" s="31">
        <f t="shared" si="148"/>
      </c>
      <c r="L360" s="28">
        <f t="shared" si="149"/>
      </c>
    </row>
    <row r="361" spans="1:12" ht="12.75">
      <c r="A361" s="6">
        <f t="shared" si="150"/>
        <v>47027</v>
      </c>
      <c r="B361" s="19">
        <f t="shared" si="140"/>
        <v>351</v>
      </c>
      <c r="C361" s="26">
        <f t="shared" si="141"/>
      </c>
      <c r="D361" s="26">
        <f t="shared" si="142"/>
      </c>
      <c r="E361" s="26">
        <f t="shared" si="143"/>
      </c>
      <c r="F361" s="26">
        <f t="shared" si="144"/>
        <v>0</v>
      </c>
      <c r="G361" s="21">
        <f t="shared" si="145"/>
      </c>
      <c r="H361" s="28">
        <f>IF(F360&lt;0.5,"",IF(OR(YEAR(A361)&lt;YEAR(A362),F361&lt;0.5),SUM($G$11:G361)-SUM($H$11:H360),""))</f>
      </c>
      <c r="I361" s="30">
        <f t="shared" si="146"/>
      </c>
      <c r="J361" s="30">
        <f t="shared" si="147"/>
      </c>
      <c r="K361" s="31">
        <f t="shared" si="148"/>
      </c>
      <c r="L361" s="28">
        <f t="shared" si="149"/>
      </c>
    </row>
    <row r="362" spans="1:12" ht="12.75">
      <c r="A362" s="6">
        <f t="shared" si="150"/>
        <v>47058</v>
      </c>
      <c r="B362" s="19">
        <f t="shared" si="140"/>
        <v>352</v>
      </c>
      <c r="C362" s="26">
        <f t="shared" si="141"/>
      </c>
      <c r="D362" s="26">
        <f t="shared" si="142"/>
      </c>
      <c r="E362" s="26">
        <f t="shared" si="143"/>
      </c>
      <c r="F362" s="26">
        <f t="shared" si="144"/>
        <v>0</v>
      </c>
      <c r="G362" s="21">
        <f t="shared" si="145"/>
      </c>
      <c r="H362" s="28">
        <f>IF(F361&lt;0.5,"",IF(OR(YEAR(A362)&lt;YEAR(A363),F362&lt;0.5),SUM($G$11:G362)-SUM($H$11:H361),""))</f>
      </c>
      <c r="I362" s="30">
        <f t="shared" si="146"/>
      </c>
      <c r="J362" s="30">
        <f t="shared" si="147"/>
      </c>
      <c r="K362" s="31">
        <f t="shared" si="148"/>
      </c>
      <c r="L362" s="28">
        <f t="shared" si="149"/>
      </c>
    </row>
    <row r="363" spans="1:12" ht="12.75">
      <c r="A363" s="6">
        <f t="shared" si="150"/>
        <v>47088</v>
      </c>
      <c r="B363" s="19">
        <f t="shared" si="140"/>
        <v>353</v>
      </c>
      <c r="C363" s="26">
        <f t="shared" si="141"/>
      </c>
      <c r="D363" s="26">
        <f t="shared" si="142"/>
      </c>
      <c r="E363" s="26">
        <f t="shared" si="143"/>
      </c>
      <c r="F363" s="26">
        <f t="shared" si="144"/>
        <v>0</v>
      </c>
      <c r="G363" s="21">
        <f t="shared" si="145"/>
      </c>
      <c r="H363" s="28">
        <f>IF(F362&lt;0.5,"",IF(OR(YEAR(A363)&lt;YEAR(A364),F363&lt;0.5),SUM($G$11:G363)-SUM($H$11:H362),""))</f>
      </c>
      <c r="I363" s="30">
        <f t="shared" si="146"/>
      </c>
      <c r="J363" s="30">
        <f t="shared" si="147"/>
      </c>
      <c r="K363" s="31">
        <f t="shared" si="148"/>
      </c>
      <c r="L363" s="28">
        <f t="shared" si="149"/>
      </c>
    </row>
    <row r="364" spans="1:12" ht="12.75">
      <c r="A364" s="6">
        <f t="shared" si="150"/>
        <v>47119</v>
      </c>
      <c r="B364" s="19">
        <f t="shared" si="140"/>
        <v>354</v>
      </c>
      <c r="C364" s="26">
        <f t="shared" si="141"/>
      </c>
      <c r="D364" s="26">
        <f t="shared" si="142"/>
      </c>
      <c r="E364" s="26">
        <f t="shared" si="143"/>
      </c>
      <c r="F364" s="26">
        <f t="shared" si="144"/>
        <v>0</v>
      </c>
      <c r="G364" s="21">
        <f t="shared" si="145"/>
      </c>
      <c r="H364" s="28">
        <f>IF(F363&lt;0.5,"",IF(OR(YEAR(A364)&lt;YEAR(A365),F364&lt;0.5),SUM($G$11:G364)-SUM($H$11:H363),""))</f>
      </c>
      <c r="I364" s="30">
        <f t="shared" si="146"/>
      </c>
      <c r="J364" s="30">
        <f t="shared" si="147"/>
      </c>
      <c r="K364" s="31">
        <f t="shared" si="148"/>
      </c>
      <c r="L364" s="28">
        <f t="shared" si="149"/>
      </c>
    </row>
    <row r="365" spans="1:12" ht="12.75">
      <c r="A365" s="6">
        <f t="shared" si="150"/>
        <v>47150</v>
      </c>
      <c r="B365" s="19">
        <f t="shared" si="140"/>
        <v>355</v>
      </c>
      <c r="C365" s="26">
        <f t="shared" si="141"/>
      </c>
      <c r="D365" s="26">
        <f t="shared" si="142"/>
      </c>
      <c r="E365" s="26">
        <f t="shared" si="143"/>
      </c>
      <c r="F365" s="26">
        <f t="shared" si="144"/>
        <v>0</v>
      </c>
      <c r="G365" s="21">
        <f t="shared" si="145"/>
      </c>
      <c r="H365" s="28">
        <f>IF(F364&lt;0.5,"",IF(OR(YEAR(A365)&lt;YEAR(A366),F365&lt;0.5),SUM($G$11:G365)-SUM($H$11:H364),""))</f>
      </c>
      <c r="I365" s="30">
        <f t="shared" si="146"/>
      </c>
      <c r="J365" s="30">
        <f t="shared" si="147"/>
      </c>
      <c r="K365" s="31">
        <f t="shared" si="148"/>
      </c>
      <c r="L365" s="28">
        <f t="shared" si="149"/>
      </c>
    </row>
    <row r="366" spans="1:12" ht="12.75">
      <c r="A366" s="6">
        <f t="shared" si="150"/>
        <v>47178</v>
      </c>
      <c r="B366" s="19">
        <f t="shared" si="140"/>
        <v>356</v>
      </c>
      <c r="C366" s="26">
        <f t="shared" si="141"/>
      </c>
      <c r="D366" s="26">
        <f t="shared" si="142"/>
      </c>
      <c r="E366" s="26">
        <f t="shared" si="143"/>
      </c>
      <c r="F366" s="26">
        <f t="shared" si="144"/>
        <v>0</v>
      </c>
      <c r="G366" s="21">
        <f t="shared" si="145"/>
      </c>
      <c r="H366" s="28">
        <f>IF(F365&lt;0.5,"",IF(OR(YEAR(A366)&lt;YEAR(A367),F366&lt;0.5),SUM($G$11:G366)-SUM($H$11:H365),""))</f>
      </c>
      <c r="I366" s="30">
        <f t="shared" si="146"/>
      </c>
      <c r="J366" s="30">
        <f t="shared" si="147"/>
      </c>
      <c r="K366" s="31">
        <f t="shared" si="148"/>
      </c>
      <c r="L366" s="28">
        <f t="shared" si="149"/>
      </c>
    </row>
    <row r="367" spans="1:12" ht="12.75">
      <c r="A367" s="6">
        <f t="shared" si="150"/>
        <v>47209</v>
      </c>
      <c r="B367" s="19">
        <f t="shared" si="140"/>
        <v>357</v>
      </c>
      <c r="C367" s="26">
        <f t="shared" si="141"/>
      </c>
      <c r="D367" s="26">
        <f t="shared" si="142"/>
      </c>
      <c r="E367" s="26">
        <f t="shared" si="143"/>
      </c>
      <c r="F367" s="26">
        <f t="shared" si="144"/>
        <v>0</v>
      </c>
      <c r="G367" s="21">
        <f t="shared" si="145"/>
      </c>
      <c r="H367" s="28">
        <f>IF(F366&lt;0.5,"",IF(OR(YEAR(A367)&lt;YEAR(A368),F367&lt;0.5),SUM($G$11:G367)-SUM($H$11:H366),""))</f>
      </c>
      <c r="I367" s="30">
        <f t="shared" si="146"/>
      </c>
      <c r="J367" s="30">
        <f t="shared" si="147"/>
      </c>
      <c r="K367" s="31">
        <f t="shared" si="148"/>
      </c>
      <c r="L367" s="28">
        <f t="shared" si="149"/>
      </c>
    </row>
    <row r="368" spans="1:12" ht="12.75">
      <c r="A368" s="6">
        <f t="shared" si="150"/>
        <v>47239</v>
      </c>
      <c r="B368" s="19">
        <f t="shared" si="140"/>
        <v>358</v>
      </c>
      <c r="C368" s="26">
        <f t="shared" si="141"/>
      </c>
      <c r="D368" s="26">
        <f t="shared" si="142"/>
      </c>
      <c r="E368" s="26">
        <f t="shared" si="143"/>
      </c>
      <c r="F368" s="26">
        <f t="shared" si="144"/>
        <v>0</v>
      </c>
      <c r="G368" s="21">
        <f t="shared" si="145"/>
      </c>
      <c r="H368" s="28">
        <f>IF(F367&lt;0.5,"",IF(OR(YEAR(A368)&lt;YEAR(A369),F368&lt;0.5),SUM($G$11:G368)-SUM($H$11:H367),""))</f>
      </c>
      <c r="I368" s="30">
        <f t="shared" si="146"/>
      </c>
      <c r="J368" s="30">
        <f t="shared" si="147"/>
      </c>
      <c r="K368" s="31">
        <f t="shared" si="148"/>
      </c>
      <c r="L368" s="28">
        <f t="shared" si="149"/>
      </c>
    </row>
    <row r="369" spans="1:12" ht="12.75">
      <c r="A369" s="6">
        <f t="shared" si="150"/>
        <v>47270</v>
      </c>
      <c r="B369" s="19">
        <f t="shared" si="140"/>
        <v>359</v>
      </c>
      <c r="C369" s="26">
        <f t="shared" si="141"/>
      </c>
      <c r="D369" s="26">
        <f t="shared" si="142"/>
      </c>
      <c r="E369" s="26">
        <f t="shared" si="143"/>
      </c>
      <c r="F369" s="26">
        <f t="shared" si="144"/>
        <v>0</v>
      </c>
      <c r="G369" s="21">
        <f t="shared" si="145"/>
      </c>
      <c r="H369" s="28">
        <f>IF(F368&lt;0.5,"",IF(OR(YEAR(A369)&lt;YEAR(A370),F369&lt;0.5),SUM($G$11:G369)-SUM($H$11:H368),""))</f>
      </c>
      <c r="I369" s="30">
        <f t="shared" si="146"/>
      </c>
      <c r="J369" s="30">
        <f t="shared" si="147"/>
      </c>
      <c r="K369" s="31">
        <f t="shared" si="148"/>
      </c>
      <c r="L369" s="28">
        <f t="shared" si="149"/>
      </c>
    </row>
    <row r="370" spans="1:12" ht="12.75">
      <c r="A370" s="7">
        <f t="shared" si="150"/>
        <v>47300</v>
      </c>
      <c r="B370" s="8">
        <f t="shared" si="140"/>
        <v>360</v>
      </c>
      <c r="C370" s="27">
        <f t="shared" si="141"/>
      </c>
      <c r="D370" s="27">
        <f t="shared" si="142"/>
      </c>
      <c r="E370" s="27">
        <f t="shared" si="143"/>
      </c>
      <c r="F370" s="27">
        <f t="shared" si="144"/>
        <v>0</v>
      </c>
      <c r="G370" s="13">
        <f t="shared" si="145"/>
      </c>
      <c r="H370" s="32">
        <f>IF(F369&lt;0.5,"",IF(OR(YEAR(A370)&lt;YEAR(A371),F370&lt;0.5),SUM($G$11:G370)-SUM($H$11:H369),""))</f>
      </c>
      <c r="I370" s="33">
        <f t="shared" si="146"/>
      </c>
      <c r="J370" s="33">
        <f t="shared" si="147"/>
      </c>
      <c r="K370" s="32">
        <f t="shared" si="148"/>
      </c>
      <c r="L370" s="32">
        <f t="shared" si="149"/>
      </c>
    </row>
    <row r="371" spans="2:12" ht="12.75">
      <c r="B371" s="10" t="s">
        <v>44</v>
      </c>
      <c r="C371" s="26">
        <f>SUM(C11:C370)</f>
        <v>131352.17305293123</v>
      </c>
      <c r="D371" s="26">
        <f>SUM(D11:D370)</f>
        <v>53352.17305293153</v>
      </c>
      <c r="E371" s="26">
        <f>SUM(E11:E370)</f>
        <v>77999.99999999993</v>
      </c>
      <c r="F371" s="26"/>
      <c r="G371" s="20"/>
      <c r="H371" s="20">
        <f>SUM(G11:G370)</f>
        <v>16005.651915879447</v>
      </c>
      <c r="I371" s="21"/>
      <c r="J371" s="21"/>
      <c r="K371" s="22"/>
      <c r="L371" s="22"/>
    </row>
    <row r="372" spans="3:12" ht="12.75">
      <c r="C372" s="20"/>
      <c r="D372" s="20"/>
      <c r="E372" s="20"/>
      <c r="F372" s="20"/>
      <c r="G372" s="20"/>
      <c r="H372" s="21"/>
      <c r="I372" s="21"/>
      <c r="J372" s="21"/>
      <c r="K372" s="22"/>
      <c r="L372" s="22"/>
    </row>
    <row r="373" spans="3:12" ht="12.75">
      <c r="C373" s="20"/>
      <c r="D373" s="20"/>
      <c r="E373" s="20"/>
      <c r="F373" s="20"/>
      <c r="G373" s="20"/>
      <c r="H373" s="21"/>
      <c r="I373" s="21"/>
      <c r="J373" s="21"/>
      <c r="K373" s="22"/>
      <c r="L373" s="22"/>
    </row>
    <row r="374" spans="3:12" ht="12.75">
      <c r="C374" s="20"/>
      <c r="D374" s="20"/>
      <c r="E374" s="20"/>
      <c r="F374" s="20"/>
      <c r="G374" s="20"/>
      <c r="H374" s="21"/>
      <c r="I374" s="21"/>
      <c r="J374" s="21"/>
      <c r="K374" s="22"/>
      <c r="L374" s="22"/>
    </row>
    <row r="375" spans="3:12" ht="12.75">
      <c r="C375" s="20"/>
      <c r="D375" s="20"/>
      <c r="E375" s="20"/>
      <c r="F375" s="20"/>
      <c r="G375" s="20"/>
      <c r="H375" s="21"/>
      <c r="I375" s="21"/>
      <c r="J375" s="21"/>
      <c r="K375" s="22"/>
      <c r="L375" s="22"/>
    </row>
    <row r="376" spans="3:12" ht="12.75">
      <c r="C376" s="20"/>
      <c r="D376" s="20"/>
      <c r="E376" s="20"/>
      <c r="F376" s="20"/>
      <c r="G376" s="20"/>
      <c r="H376" s="21"/>
      <c r="I376" s="21"/>
      <c r="J376" s="21"/>
      <c r="K376" s="22"/>
      <c r="L376" s="22"/>
    </row>
    <row r="377" spans="3:12" ht="12.75">
      <c r="C377" s="20"/>
      <c r="D377" s="20"/>
      <c r="E377" s="20"/>
      <c r="F377" s="20"/>
      <c r="G377" s="20"/>
      <c r="H377" s="21"/>
      <c r="I377" s="21"/>
      <c r="J377" s="21"/>
      <c r="K377" s="22"/>
      <c r="L377" s="22"/>
    </row>
  </sheetData>
  <sheetProtection/>
  <printOptions/>
  <pageMargins left="1" right="1" top="1" bottom="1" header="0.5" footer="0.5"/>
  <pageSetup fitToHeight="4" fitToWidth="1" horizontalDpi="300" verticalDpi="300" orientation="landscape" scale="36" r:id="rId1"/>
  <headerFooter alignWithMargins="0">
    <oddFooter>&amp;R&amp;8Dairy Management at Virginia Tech
Dr. M. L. McGilliard
[&amp;F], Rev. 10/10/00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7"/>
  <sheetViews>
    <sheetView zoomScalePageLayoutView="0" workbookViewId="0" topLeftCell="A1">
      <pane ySplit="10" topLeftCell="A11" activePane="bottomLeft" state="frozen"/>
      <selection pane="topLeft" activeCell="C1" sqref="C1"/>
      <selection pane="bottomLeft" activeCell="C8" sqref="C8"/>
    </sheetView>
  </sheetViews>
  <sheetFormatPr defaultColWidth="11.00390625" defaultRowHeight="12.75"/>
  <cols>
    <col min="1" max="1" width="9.140625" style="0" customWidth="1"/>
    <col min="2" max="2" width="6.421875" style="0" customWidth="1"/>
    <col min="3" max="5" width="11.00390625" style="0" customWidth="1"/>
    <col min="6" max="6" width="12.8515625" style="0" customWidth="1"/>
    <col min="7" max="7" width="12.8515625" style="0" hidden="1" customWidth="1"/>
    <col min="8" max="8" width="11.140625" style="0" customWidth="1"/>
    <col min="9" max="9" width="12.140625" style="0" customWidth="1"/>
    <col min="10" max="10" width="10.57421875" style="0" customWidth="1"/>
  </cols>
  <sheetData>
    <row r="1" s="15" customFormat="1" ht="18" thickBot="1">
      <c r="A1" s="14" t="s">
        <v>87</v>
      </c>
    </row>
    <row r="2" spans="10:12" ht="13.5" thickBot="1">
      <c r="J2" s="38" t="s">
        <v>17</v>
      </c>
      <c r="K2" s="39">
        <f>H4/100</f>
        <v>0.03</v>
      </c>
      <c r="L2" s="40" t="s">
        <v>18</v>
      </c>
    </row>
    <row r="3" spans="1:12" ht="12.75">
      <c r="A3" s="157" t="s">
        <v>19</v>
      </c>
      <c r="B3" s="158"/>
      <c r="C3" s="159">
        <v>29556</v>
      </c>
      <c r="D3" s="158"/>
      <c r="E3" s="157" t="s">
        <v>20</v>
      </c>
      <c r="F3" s="158"/>
      <c r="G3" s="158"/>
      <c r="H3" s="160">
        <v>5</v>
      </c>
      <c r="I3" s="2">
        <f>H3/100/12</f>
        <v>0.004166666666666667</v>
      </c>
      <c r="J3" s="35" t="s">
        <v>21</v>
      </c>
      <c r="K3" s="24"/>
      <c r="L3" s="44">
        <f>MAX(K11:K370)</f>
        <v>30751.050217280677</v>
      </c>
    </row>
    <row r="4" spans="1:12" ht="12.75">
      <c r="A4" s="157" t="s">
        <v>22</v>
      </c>
      <c r="B4" s="158"/>
      <c r="C4" s="159">
        <v>4</v>
      </c>
      <c r="D4" s="161">
        <f>C4*12</f>
        <v>48</v>
      </c>
      <c r="E4" s="162" t="s">
        <v>23</v>
      </c>
      <c r="F4" s="162"/>
      <c r="G4" s="162"/>
      <c r="H4" s="163">
        <v>3</v>
      </c>
      <c r="I4" s="2">
        <f>H4/100/12</f>
        <v>0.0025</v>
      </c>
      <c r="J4" s="41" t="s">
        <v>24</v>
      </c>
      <c r="K4" s="42"/>
      <c r="L4" s="45">
        <f>C3</f>
        <v>29556</v>
      </c>
    </row>
    <row r="5" spans="1:12" ht="12.75">
      <c r="A5" s="157" t="s">
        <v>25</v>
      </c>
      <c r="B5" s="158"/>
      <c r="C5" s="159">
        <v>8</v>
      </c>
      <c r="D5" s="158"/>
      <c r="E5" s="158" t="s">
        <v>26</v>
      </c>
      <c r="F5" s="158"/>
      <c r="G5" s="158"/>
      <c r="H5" s="163">
        <v>31</v>
      </c>
      <c r="I5" s="2">
        <f>H5/100</f>
        <v>0.31</v>
      </c>
      <c r="J5" s="35" t="s">
        <v>27</v>
      </c>
      <c r="K5" s="24"/>
      <c r="L5" s="44">
        <f>L3-L4</f>
        <v>1195.0502172806773</v>
      </c>
    </row>
    <row r="6" spans="1:12" ht="12.75">
      <c r="A6" s="157" t="s">
        <v>28</v>
      </c>
      <c r="B6" s="158"/>
      <c r="C6" s="159">
        <v>1</v>
      </c>
      <c r="D6" s="158"/>
      <c r="E6" s="164" t="s">
        <v>29</v>
      </c>
      <c r="F6" s="165"/>
      <c r="G6" s="158"/>
      <c r="H6" s="158"/>
      <c r="J6" s="35"/>
      <c r="K6" s="24"/>
      <c r="L6" s="37"/>
    </row>
    <row r="7" spans="1:12" ht="13.5" thickBot="1">
      <c r="A7" s="157" t="s">
        <v>30</v>
      </c>
      <c r="B7" s="158"/>
      <c r="C7" s="159">
        <v>2010</v>
      </c>
      <c r="D7" s="166" t="str">
        <f>IF(C7&lt;1900,"Bad Year"," ")</f>
        <v> </v>
      </c>
      <c r="E7" s="167" t="s">
        <v>31</v>
      </c>
      <c r="F7" s="168"/>
      <c r="G7" s="158"/>
      <c r="H7" s="158"/>
      <c r="J7" s="16" t="s">
        <v>32</v>
      </c>
      <c r="K7" s="17"/>
      <c r="L7" s="46">
        <f>MAX(L11:L370)</f>
        <v>914.359259367048</v>
      </c>
    </row>
    <row r="8" spans="1:6" ht="12.75">
      <c r="A8" s="1"/>
      <c r="C8" s="9"/>
      <c r="D8" s="2"/>
      <c r="E8" s="255" t="s">
        <v>89</v>
      </c>
      <c r="F8" s="24"/>
    </row>
    <row r="9" spans="8:12" ht="12.75">
      <c r="H9" s="10" t="s">
        <v>33</v>
      </c>
      <c r="I9" s="23" t="s">
        <v>34</v>
      </c>
      <c r="J9" s="23"/>
      <c r="K9" s="23"/>
      <c r="L9" s="23"/>
    </row>
    <row r="10" spans="1:12" s="24" customFormat="1" ht="12.75">
      <c r="A10" s="4" t="s">
        <v>35</v>
      </c>
      <c r="B10" s="4" t="s">
        <v>36</v>
      </c>
      <c r="C10" s="5" t="s">
        <v>37</v>
      </c>
      <c r="D10" s="5" t="s">
        <v>38</v>
      </c>
      <c r="E10" s="5" t="s">
        <v>39</v>
      </c>
      <c r="F10" s="5" t="s">
        <v>40</v>
      </c>
      <c r="G10" s="5"/>
      <c r="H10" s="5" t="s">
        <v>41</v>
      </c>
      <c r="I10" s="5" t="s">
        <v>38</v>
      </c>
      <c r="J10" s="5" t="s">
        <v>39</v>
      </c>
      <c r="K10" s="11" t="s">
        <v>42</v>
      </c>
      <c r="L10" s="11" t="s">
        <v>43</v>
      </c>
    </row>
    <row r="11" spans="1:12" ht="12.75">
      <c r="A11" s="6">
        <f>DATE(C7,C5,C6)</f>
        <v>40391</v>
      </c>
      <c r="B11" s="3">
        <v>1</v>
      </c>
      <c r="C11" s="47">
        <f>PMT(I3,D4,-C3)</f>
        <v>680.6538007740286</v>
      </c>
      <c r="D11" s="47">
        <f>I3*C3</f>
        <v>123.14999999999999</v>
      </c>
      <c r="E11" s="47">
        <f>C11-D11</f>
        <v>557.5038007740286</v>
      </c>
      <c r="F11" s="47">
        <f>C3-E11</f>
        <v>28998.49619922597</v>
      </c>
      <c r="G11" s="12">
        <f>D11*$I$5</f>
        <v>38.1765</v>
      </c>
      <c r="H11" s="48">
        <f>IF(YEAR(A11)&lt;YEAR(A12),G11,"")</f>
      </c>
      <c r="I11" s="49">
        <f>D11</f>
        <v>123.14999999999999</v>
      </c>
      <c r="J11" s="49">
        <f>E11</f>
        <v>557.5038007740286</v>
      </c>
      <c r="K11" s="48">
        <f>C11/(1+$I$4)^B11</f>
        <v>678.9564097496544</v>
      </c>
      <c r="L11" s="48">
        <f>IF(H11="",0,H11/(1+$I$4)^B11)</f>
        <v>0</v>
      </c>
    </row>
    <row r="12" spans="1:12" ht="12.75">
      <c r="A12" s="6">
        <f aca="true" t="shared" si="0" ref="A12:A75">IF($C$6&lt;27,DATE((YEAR(A11)-1900),MONTH(A11)+1,$C$6),DATE((YEAR(A11)-1900),MONTH(A11)+2,1)-1)</f>
        <v>40422</v>
      </c>
      <c r="B12" s="3">
        <f aca="true" t="shared" si="1" ref="B12:B75">B11+1</f>
        <v>2</v>
      </c>
      <c r="C12" s="47">
        <f aca="true" t="shared" si="2" ref="C12:C75">IF(F11&gt;0.5,C11,"")</f>
        <v>680.6538007740286</v>
      </c>
      <c r="D12" s="47">
        <f aca="true" t="shared" si="3" ref="D12:D75">IF(F11&gt;0.5,$I$3*F11,"")</f>
        <v>120.82706749677487</v>
      </c>
      <c r="E12" s="47">
        <f aca="true" t="shared" si="4" ref="E12:E75">IF(F11&gt;0.5,C12-D12,"")</f>
        <v>559.8267332772537</v>
      </c>
      <c r="F12" s="47">
        <f aca="true" t="shared" si="5" ref="F12:F75">IF(F11&gt;0.5,F11-E12,0)</f>
        <v>28438.66946594872</v>
      </c>
      <c r="G12" s="12">
        <f aca="true" t="shared" si="6" ref="G12:G75">IF(F11&gt;0.5,D12*$I$5,"")</f>
        <v>37.45639092400021</v>
      </c>
      <c r="H12" s="48">
        <f>IF(F11&lt;0.5,"",IF(OR(YEAR(A12)&lt;YEAR(A13),F12&lt;0.5),SUM($G$11:G12)-SUM($H$11:H11),""))</f>
      </c>
      <c r="I12" s="49">
        <f aca="true" t="shared" si="7" ref="I12:I75">IF(F11&gt;0.5,I11+D12,"")</f>
        <v>243.97706749677485</v>
      </c>
      <c r="J12" s="49">
        <f aca="true" t="shared" si="8" ref="J12:J75">IF(F11&gt;0.5,J11+E12,"")</f>
        <v>1117.3305340512823</v>
      </c>
      <c r="K12" s="48">
        <f aca="true" t="shared" si="9" ref="K12:K75">IF(F11&gt;0.5,C12/(1+$I$4)^B12+K11,"")</f>
        <v>1356.2196613702574</v>
      </c>
      <c r="L12" s="48">
        <f aca="true" t="shared" si="10" ref="L12:L75">IF(F11&lt;0.5,"",IF(H12="",L11,H12/(1+$I$4)^B12+L11))</f>
        <v>0</v>
      </c>
    </row>
    <row r="13" spans="1:12" ht="12.75">
      <c r="A13" s="6">
        <f t="shared" si="0"/>
        <v>40452</v>
      </c>
      <c r="B13" s="3">
        <f t="shared" si="1"/>
        <v>3</v>
      </c>
      <c r="C13" s="47">
        <f t="shared" si="2"/>
        <v>680.6538007740286</v>
      </c>
      <c r="D13" s="47">
        <f t="shared" si="3"/>
        <v>118.49445610811966</v>
      </c>
      <c r="E13" s="47">
        <f t="shared" si="4"/>
        <v>562.159344665909</v>
      </c>
      <c r="F13" s="47">
        <f t="shared" si="5"/>
        <v>27876.51012128281</v>
      </c>
      <c r="G13" s="12">
        <f t="shared" si="6"/>
        <v>36.733281393517096</v>
      </c>
      <c r="H13" s="48">
        <f>IF(F12&lt;0.5,"",IF(OR(YEAR(A13)&lt;YEAR(A14),F13&lt;0.5),SUM($G$11:G13)-SUM($H$11:H12),""))</f>
      </c>
      <c r="I13" s="49">
        <f t="shared" si="7"/>
        <v>362.4715236048945</v>
      </c>
      <c r="J13" s="49">
        <f t="shared" si="8"/>
        <v>1679.4898787171912</v>
      </c>
      <c r="K13" s="48">
        <f t="shared" si="9"/>
        <v>2031.7939772012828</v>
      </c>
      <c r="L13" s="48">
        <f t="shared" si="10"/>
        <v>0</v>
      </c>
    </row>
    <row r="14" spans="1:12" ht="12.75">
      <c r="A14" s="6">
        <f t="shared" si="0"/>
        <v>40483</v>
      </c>
      <c r="B14" s="3">
        <f t="shared" si="1"/>
        <v>4</v>
      </c>
      <c r="C14" s="47">
        <f t="shared" si="2"/>
        <v>680.6538007740286</v>
      </c>
      <c r="D14" s="47">
        <f t="shared" si="3"/>
        <v>116.15212550534504</v>
      </c>
      <c r="E14" s="47">
        <f t="shared" si="4"/>
        <v>564.5016752686836</v>
      </c>
      <c r="F14" s="47">
        <f t="shared" si="5"/>
        <v>27312.008446014126</v>
      </c>
      <c r="G14" s="12">
        <f t="shared" si="6"/>
        <v>36.00715890665696</v>
      </c>
      <c r="H14" s="48">
        <f>IF(F13&lt;0.5,"",IF(OR(YEAR(A14)&lt;YEAR(A15),F14&lt;0.5),SUM($G$11:G14)-SUM($H$11:H13),""))</f>
      </c>
      <c r="I14" s="49">
        <f t="shared" si="7"/>
        <v>478.62364911023957</v>
      </c>
      <c r="J14" s="49">
        <f t="shared" si="8"/>
        <v>2243.991553985875</v>
      </c>
      <c r="K14" s="48">
        <f t="shared" si="9"/>
        <v>2705.6835690526796</v>
      </c>
      <c r="L14" s="48">
        <f t="shared" si="10"/>
        <v>0</v>
      </c>
    </row>
    <row r="15" spans="1:12" ht="12.75">
      <c r="A15" s="6">
        <f t="shared" si="0"/>
        <v>40513</v>
      </c>
      <c r="B15" s="3">
        <f t="shared" si="1"/>
        <v>5</v>
      </c>
      <c r="C15" s="47">
        <f t="shared" si="2"/>
        <v>680.6538007740286</v>
      </c>
      <c r="D15" s="47">
        <f t="shared" si="3"/>
        <v>113.80003519172553</v>
      </c>
      <c r="E15" s="47">
        <f t="shared" si="4"/>
        <v>566.853765582303</v>
      </c>
      <c r="F15" s="47">
        <f t="shared" si="5"/>
        <v>26745.154680431824</v>
      </c>
      <c r="G15" s="12">
        <f t="shared" si="6"/>
        <v>35.27801090943491</v>
      </c>
      <c r="H15" s="48">
        <f>IF(F14&lt;0.5,"",IF(OR(YEAR(A15)&lt;YEAR(A16),F15&lt;0.5),SUM($G$11:G15)-SUM($H$11:H14),""))</f>
        <v>183.6513421336092</v>
      </c>
      <c r="I15" s="49">
        <f t="shared" si="7"/>
        <v>592.4236843019651</v>
      </c>
      <c r="J15" s="49">
        <f t="shared" si="8"/>
        <v>2810.8453195681777</v>
      </c>
      <c r="K15" s="48">
        <f t="shared" si="9"/>
        <v>3377.89263823113</v>
      </c>
      <c r="L15" s="48">
        <f t="shared" si="10"/>
        <v>181.37281773585767</v>
      </c>
    </row>
    <row r="16" spans="1:12" ht="12.75">
      <c r="A16" s="6">
        <f t="shared" si="0"/>
        <v>40544</v>
      </c>
      <c r="B16" s="3">
        <f t="shared" si="1"/>
        <v>6</v>
      </c>
      <c r="C16" s="47">
        <f t="shared" si="2"/>
        <v>680.6538007740286</v>
      </c>
      <c r="D16" s="47">
        <f t="shared" si="3"/>
        <v>111.43814450179927</v>
      </c>
      <c r="E16" s="47">
        <f t="shared" si="4"/>
        <v>569.2156562722294</v>
      </c>
      <c r="F16" s="47">
        <f t="shared" si="5"/>
        <v>26175.939024159594</v>
      </c>
      <c r="G16" s="12">
        <f t="shared" si="6"/>
        <v>34.54582479555778</v>
      </c>
      <c r="H16" s="48">
        <f>IF(F15&lt;0.5,"",IF(OR(YEAR(A16)&lt;YEAR(A17),F16&lt;0.5),SUM($G$11:G16)-SUM($H$11:H15),""))</f>
      </c>
      <c r="I16" s="49">
        <f t="shared" si="7"/>
        <v>703.8618288037643</v>
      </c>
      <c r="J16" s="49">
        <f t="shared" si="8"/>
        <v>3380.060975840407</v>
      </c>
      <c r="K16" s="48">
        <f t="shared" si="9"/>
        <v>4048.4253755662435</v>
      </c>
      <c r="L16" s="48">
        <f t="shared" si="10"/>
        <v>181.37281773585767</v>
      </c>
    </row>
    <row r="17" spans="1:12" ht="12.75">
      <c r="A17" s="6">
        <f t="shared" si="0"/>
        <v>40575</v>
      </c>
      <c r="B17" s="3">
        <f t="shared" si="1"/>
        <v>7</v>
      </c>
      <c r="C17" s="47">
        <f t="shared" si="2"/>
        <v>680.6538007740286</v>
      </c>
      <c r="D17" s="47">
        <f t="shared" si="3"/>
        <v>109.06641260066498</v>
      </c>
      <c r="E17" s="47">
        <f t="shared" si="4"/>
        <v>571.5873881733636</v>
      </c>
      <c r="F17" s="47">
        <f t="shared" si="5"/>
        <v>25604.35163598623</v>
      </c>
      <c r="G17" s="12">
        <f t="shared" si="6"/>
        <v>33.810587906206145</v>
      </c>
      <c r="H17" s="48">
        <f>IF(F16&lt;0.5,"",IF(OR(YEAR(A17)&lt;YEAR(A18),F17&lt;0.5),SUM($G$11:G17)-SUM($H$11:H16),""))</f>
      </c>
      <c r="I17" s="49">
        <f t="shared" si="7"/>
        <v>812.9282414044293</v>
      </c>
      <c r="J17" s="49">
        <f t="shared" si="8"/>
        <v>3951.648364013771</v>
      </c>
      <c r="K17" s="48">
        <f t="shared" si="9"/>
        <v>4717.285961436681</v>
      </c>
      <c r="L17" s="48">
        <f t="shared" si="10"/>
        <v>181.37281773585767</v>
      </c>
    </row>
    <row r="18" spans="1:12" ht="12.75">
      <c r="A18" s="6">
        <f t="shared" si="0"/>
        <v>40603</v>
      </c>
      <c r="B18" s="3">
        <f t="shared" si="1"/>
        <v>8</v>
      </c>
      <c r="C18" s="47">
        <f t="shared" si="2"/>
        <v>680.6538007740286</v>
      </c>
      <c r="D18" s="47">
        <f t="shared" si="3"/>
        <v>106.68479848327596</v>
      </c>
      <c r="E18" s="47">
        <f t="shared" si="4"/>
        <v>573.9690022907527</v>
      </c>
      <c r="F18" s="47">
        <f t="shared" si="5"/>
        <v>25030.382633695477</v>
      </c>
      <c r="G18" s="12">
        <f t="shared" si="6"/>
        <v>33.07228752981555</v>
      </c>
      <c r="H18" s="48">
        <f>IF(F17&lt;0.5,"",IF(OR(YEAR(A18)&lt;YEAR(A19),F18&lt;0.5),SUM($G$11:G18)-SUM($H$11:H17),""))</f>
      </c>
      <c r="I18" s="49">
        <f t="shared" si="7"/>
        <v>919.6130398877052</v>
      </c>
      <c r="J18" s="49">
        <f t="shared" si="8"/>
        <v>4525.617366304524</v>
      </c>
      <c r="K18" s="48">
        <f t="shared" si="9"/>
        <v>5384.478565796219</v>
      </c>
      <c r="L18" s="48">
        <f t="shared" si="10"/>
        <v>181.37281773585767</v>
      </c>
    </row>
    <row r="19" spans="1:12" ht="12.75">
      <c r="A19" s="6">
        <f t="shared" si="0"/>
        <v>40634</v>
      </c>
      <c r="B19" s="3">
        <f t="shared" si="1"/>
        <v>9</v>
      </c>
      <c r="C19" s="47">
        <f t="shared" si="2"/>
        <v>680.6538007740286</v>
      </c>
      <c r="D19" s="47">
        <f t="shared" si="3"/>
        <v>104.29326097373115</v>
      </c>
      <c r="E19" s="47">
        <f t="shared" si="4"/>
        <v>576.3605398002974</v>
      </c>
      <c r="F19" s="47">
        <f t="shared" si="5"/>
        <v>24454.02209389518</v>
      </c>
      <c r="G19" s="12">
        <f t="shared" si="6"/>
        <v>32.330910901856655</v>
      </c>
      <c r="H19" s="48">
        <f>IF(F18&lt;0.5,"",IF(OR(YEAR(A19)&lt;YEAR(A20),F19&lt;0.5),SUM($G$11:G19)-SUM($H$11:H18),""))</f>
      </c>
      <c r="I19" s="49">
        <f t="shared" si="7"/>
        <v>1023.9063008614364</v>
      </c>
      <c r="J19" s="49">
        <f t="shared" si="8"/>
        <v>5101.977906104821</v>
      </c>
      <c r="K19" s="48">
        <f t="shared" si="9"/>
        <v>6050.007348199749</v>
      </c>
      <c r="L19" s="48">
        <f t="shared" si="10"/>
        <v>181.37281773585767</v>
      </c>
    </row>
    <row r="20" spans="1:12" ht="12.75">
      <c r="A20" s="6">
        <f t="shared" si="0"/>
        <v>40664</v>
      </c>
      <c r="B20" s="3">
        <f t="shared" si="1"/>
        <v>10</v>
      </c>
      <c r="C20" s="47">
        <f t="shared" si="2"/>
        <v>680.6538007740286</v>
      </c>
      <c r="D20" s="47">
        <f t="shared" si="3"/>
        <v>101.89175872456325</v>
      </c>
      <c r="E20" s="47">
        <f t="shared" si="4"/>
        <v>578.7620420494653</v>
      </c>
      <c r="F20" s="47">
        <f t="shared" si="5"/>
        <v>23875.260051845715</v>
      </c>
      <c r="G20" s="12">
        <f t="shared" si="6"/>
        <v>31.586445204614606</v>
      </c>
      <c r="H20" s="48">
        <f>IF(F19&lt;0.5,"",IF(OR(YEAR(A20)&lt;YEAR(A21),F20&lt;0.5),SUM($G$11:G20)-SUM($H$11:H19),""))</f>
      </c>
      <c r="I20" s="49">
        <f t="shared" si="7"/>
        <v>1125.7980595859997</v>
      </c>
      <c r="J20" s="49">
        <f t="shared" si="8"/>
        <v>5680.739948154286</v>
      </c>
      <c r="K20" s="48">
        <f t="shared" si="9"/>
        <v>6713.876457829205</v>
      </c>
      <c r="L20" s="48">
        <f t="shared" si="10"/>
        <v>181.37281773585767</v>
      </c>
    </row>
    <row r="21" spans="1:12" ht="12.75">
      <c r="A21" s="6">
        <f t="shared" si="0"/>
        <v>40695</v>
      </c>
      <c r="B21" s="3">
        <f t="shared" si="1"/>
        <v>11</v>
      </c>
      <c r="C21" s="47">
        <f t="shared" si="2"/>
        <v>680.6538007740286</v>
      </c>
      <c r="D21" s="47">
        <f t="shared" si="3"/>
        <v>99.4802502160238</v>
      </c>
      <c r="E21" s="47">
        <f t="shared" si="4"/>
        <v>581.1735505580048</v>
      </c>
      <c r="F21" s="47">
        <f t="shared" si="5"/>
        <v>23294.08650128771</v>
      </c>
      <c r="G21" s="12">
        <f t="shared" si="6"/>
        <v>30.83887756696738</v>
      </c>
      <c r="H21" s="48">
        <f>IF(F20&lt;0.5,"",IF(OR(YEAR(A21)&lt;YEAR(A22),F21&lt;0.5),SUM($G$11:G21)-SUM($H$11:H20),""))</f>
      </c>
      <c r="I21" s="49">
        <f t="shared" si="7"/>
        <v>1225.2783098020234</v>
      </c>
      <c r="J21" s="49">
        <f t="shared" si="8"/>
        <v>6261.913498712291</v>
      </c>
      <c r="K21" s="48">
        <f t="shared" si="9"/>
        <v>7376.090033519436</v>
      </c>
      <c r="L21" s="48">
        <f t="shared" si="10"/>
        <v>181.37281773585767</v>
      </c>
    </row>
    <row r="22" spans="1:12" ht="12.75">
      <c r="A22" s="6">
        <f t="shared" si="0"/>
        <v>40725</v>
      </c>
      <c r="B22" s="3">
        <f t="shared" si="1"/>
        <v>12</v>
      </c>
      <c r="C22" s="47">
        <f t="shared" si="2"/>
        <v>680.6538007740286</v>
      </c>
      <c r="D22" s="47">
        <f t="shared" si="3"/>
        <v>97.05869375536547</v>
      </c>
      <c r="E22" s="47">
        <f t="shared" si="4"/>
        <v>583.5951070186632</v>
      </c>
      <c r="F22" s="47">
        <f t="shared" si="5"/>
        <v>22710.491394269047</v>
      </c>
      <c r="G22" s="12">
        <f t="shared" si="6"/>
        <v>30.088195064163294</v>
      </c>
      <c r="H22" s="48">
        <f>IF(F21&lt;0.5,"",IF(OR(YEAR(A22)&lt;YEAR(A23),F22&lt;0.5),SUM($G$11:G22)-SUM($H$11:H21),""))</f>
      </c>
      <c r="I22" s="49">
        <f t="shared" si="7"/>
        <v>1322.337003557389</v>
      </c>
      <c r="J22" s="49">
        <f t="shared" si="8"/>
        <v>6845.508605730954</v>
      </c>
      <c r="K22" s="48">
        <f t="shared" si="9"/>
        <v>8036.652203784004</v>
      </c>
      <c r="L22" s="48">
        <f t="shared" si="10"/>
        <v>181.37281773585767</v>
      </c>
    </row>
    <row r="23" spans="1:12" ht="12.75">
      <c r="A23" s="6">
        <f t="shared" si="0"/>
        <v>40756</v>
      </c>
      <c r="B23" s="3">
        <f t="shared" si="1"/>
        <v>13</v>
      </c>
      <c r="C23" s="47">
        <f t="shared" si="2"/>
        <v>680.6538007740286</v>
      </c>
      <c r="D23" s="47">
        <f t="shared" si="3"/>
        <v>94.62704747612104</v>
      </c>
      <c r="E23" s="47">
        <f t="shared" si="4"/>
        <v>586.0267532979076</v>
      </c>
      <c r="F23" s="47">
        <f t="shared" si="5"/>
        <v>22124.46464097114</v>
      </c>
      <c r="G23" s="12">
        <f t="shared" si="6"/>
        <v>29.33438471759752</v>
      </c>
      <c r="H23" s="48">
        <f>IF(F22&lt;0.5,"",IF(OR(YEAR(A23)&lt;YEAR(A24),F23&lt;0.5),SUM($G$11:G23)-SUM($H$11:H22),""))</f>
      </c>
      <c r="I23" s="49">
        <f t="shared" si="7"/>
        <v>1416.96405103351</v>
      </c>
      <c r="J23" s="49">
        <f t="shared" si="8"/>
        <v>7431.535359028861</v>
      </c>
      <c r="K23" s="48">
        <f t="shared" si="9"/>
        <v>8695.56708684093</v>
      </c>
      <c r="L23" s="48">
        <f t="shared" si="10"/>
        <v>181.37281773585767</v>
      </c>
    </row>
    <row r="24" spans="1:12" ht="12.75">
      <c r="A24" s="6">
        <f t="shared" si="0"/>
        <v>40787</v>
      </c>
      <c r="B24" s="3">
        <f t="shared" si="1"/>
        <v>14</v>
      </c>
      <c r="C24" s="47">
        <f t="shared" si="2"/>
        <v>680.6538007740286</v>
      </c>
      <c r="D24" s="47">
        <f t="shared" si="3"/>
        <v>92.18526933737974</v>
      </c>
      <c r="E24" s="47">
        <f t="shared" si="4"/>
        <v>588.4685314366488</v>
      </c>
      <c r="F24" s="47">
        <f t="shared" si="5"/>
        <v>21535.99610953449</v>
      </c>
      <c r="G24" s="12">
        <f t="shared" si="6"/>
        <v>28.57743349458772</v>
      </c>
      <c r="H24" s="48">
        <f>IF(F23&lt;0.5,"",IF(OR(YEAR(A24)&lt;YEAR(A25),F24&lt;0.5),SUM($G$11:G24)-SUM($H$11:H23),""))</f>
      </c>
      <c r="I24" s="49">
        <f t="shared" si="7"/>
        <v>1509.1493203708897</v>
      </c>
      <c r="J24" s="49">
        <f t="shared" si="8"/>
        <v>8020.00389046551</v>
      </c>
      <c r="K24" s="48">
        <f t="shared" si="9"/>
        <v>9352.838790638363</v>
      </c>
      <c r="L24" s="48">
        <f t="shared" si="10"/>
        <v>181.37281773585767</v>
      </c>
    </row>
    <row r="25" spans="1:12" ht="12.75">
      <c r="A25" s="6">
        <f t="shared" si="0"/>
        <v>40817</v>
      </c>
      <c r="B25" s="3">
        <f t="shared" si="1"/>
        <v>15</v>
      </c>
      <c r="C25" s="47">
        <f t="shared" si="2"/>
        <v>680.6538007740286</v>
      </c>
      <c r="D25" s="47">
        <f t="shared" si="3"/>
        <v>89.73331712306037</v>
      </c>
      <c r="E25" s="47">
        <f t="shared" si="4"/>
        <v>590.9204836509682</v>
      </c>
      <c r="F25" s="47">
        <f t="shared" si="5"/>
        <v>20945.075625883524</v>
      </c>
      <c r="G25" s="12">
        <f t="shared" si="6"/>
        <v>27.817328308148717</v>
      </c>
      <c r="H25" s="48">
        <f>IF(F24&lt;0.5,"",IF(OR(YEAR(A25)&lt;YEAR(A26),F25&lt;0.5),SUM($G$11:G25)-SUM($H$11:H24),""))</f>
      </c>
      <c r="I25" s="49">
        <f t="shared" si="7"/>
        <v>1598.88263749395</v>
      </c>
      <c r="J25" s="49">
        <f t="shared" si="8"/>
        <v>8610.92437411648</v>
      </c>
      <c r="K25" s="48">
        <f t="shared" si="9"/>
        <v>10008.471412880192</v>
      </c>
      <c r="L25" s="48">
        <f t="shared" si="10"/>
        <v>181.37281773585767</v>
      </c>
    </row>
    <row r="26" spans="1:12" ht="12.75">
      <c r="A26" s="6">
        <f t="shared" si="0"/>
        <v>40848</v>
      </c>
      <c r="B26" s="3">
        <f t="shared" si="1"/>
        <v>16</v>
      </c>
      <c r="C26" s="47">
        <f t="shared" si="2"/>
        <v>680.6538007740286</v>
      </c>
      <c r="D26" s="47">
        <f t="shared" si="3"/>
        <v>87.27114844118135</v>
      </c>
      <c r="E26" s="47">
        <f t="shared" si="4"/>
        <v>593.3826523328472</v>
      </c>
      <c r="F26" s="47">
        <f t="shared" si="5"/>
        <v>20351.69297355068</v>
      </c>
      <c r="G26" s="12">
        <f t="shared" si="6"/>
        <v>27.054056016766218</v>
      </c>
      <c r="H26" s="48">
        <f>IF(F25&lt;0.5,"",IF(OR(YEAR(A26)&lt;YEAR(A27),F26&lt;0.5),SUM($G$11:G26)-SUM($H$11:H25),""))</f>
      </c>
      <c r="I26" s="49">
        <f t="shared" si="7"/>
        <v>1686.1537859351313</v>
      </c>
      <c r="J26" s="49">
        <f t="shared" si="8"/>
        <v>9204.307026449327</v>
      </c>
      <c r="K26" s="48">
        <f t="shared" si="9"/>
        <v>10662.469041051592</v>
      </c>
      <c r="L26" s="48">
        <f t="shared" si="10"/>
        <v>181.37281773585767</v>
      </c>
    </row>
    <row r="27" spans="1:12" ht="12.75">
      <c r="A27" s="6">
        <f t="shared" si="0"/>
        <v>40878</v>
      </c>
      <c r="B27" s="3">
        <f t="shared" si="1"/>
        <v>17</v>
      </c>
      <c r="C27" s="47">
        <f t="shared" si="2"/>
        <v>680.6538007740286</v>
      </c>
      <c r="D27" s="47">
        <f t="shared" si="3"/>
        <v>84.79872072312783</v>
      </c>
      <c r="E27" s="47">
        <f t="shared" si="4"/>
        <v>595.8550800509007</v>
      </c>
      <c r="F27" s="47">
        <f t="shared" si="5"/>
        <v>19755.837893499778</v>
      </c>
      <c r="G27" s="12">
        <f t="shared" si="6"/>
        <v>26.287603424169628</v>
      </c>
      <c r="H27" s="48">
        <f>IF(F26&lt;0.5,"",IF(OR(YEAR(A27)&lt;YEAR(A28),F27&lt;0.5),SUM($G$11:G27)-SUM($H$11:H26),""))</f>
        <v>365.34393493045127</v>
      </c>
      <c r="I27" s="49">
        <f t="shared" si="7"/>
        <v>1770.9525066582592</v>
      </c>
      <c r="J27" s="49">
        <f t="shared" si="8"/>
        <v>9800.162106500227</v>
      </c>
      <c r="K27" s="48">
        <f t="shared" si="9"/>
        <v>11314.835752444511</v>
      </c>
      <c r="L27" s="48">
        <f t="shared" si="10"/>
        <v>531.5335324588083</v>
      </c>
    </row>
    <row r="28" spans="1:12" ht="12.75">
      <c r="A28" s="6">
        <f t="shared" si="0"/>
        <v>40909</v>
      </c>
      <c r="B28" s="3">
        <f t="shared" si="1"/>
        <v>18</v>
      </c>
      <c r="C28" s="47">
        <f t="shared" si="2"/>
        <v>680.6538007740286</v>
      </c>
      <c r="D28" s="47">
        <f t="shared" si="3"/>
        <v>82.31599122291574</v>
      </c>
      <c r="E28" s="47">
        <f t="shared" si="4"/>
        <v>598.3378095511129</v>
      </c>
      <c r="F28" s="47">
        <f t="shared" si="5"/>
        <v>19157.500083948664</v>
      </c>
      <c r="G28" s="12">
        <f t="shared" si="6"/>
        <v>25.51795727910388</v>
      </c>
      <c r="H28" s="48">
        <f>IF(F27&lt;0.5,"",IF(OR(YEAR(A28)&lt;YEAR(A29),F28&lt;0.5),SUM($G$11:G28)-SUM($H$11:H27),""))</f>
      </c>
      <c r="I28" s="49">
        <f t="shared" si="7"/>
        <v>1853.2684978811749</v>
      </c>
      <c r="J28" s="49">
        <f t="shared" si="8"/>
        <v>10398.49991605134</v>
      </c>
      <c r="K28" s="48">
        <f t="shared" si="9"/>
        <v>11965.575614183083</v>
      </c>
      <c r="L28" s="48">
        <f t="shared" si="10"/>
        <v>531.5335324588083</v>
      </c>
    </row>
    <row r="29" spans="1:12" ht="12.75">
      <c r="A29" s="6">
        <f t="shared" si="0"/>
        <v>40940</v>
      </c>
      <c r="B29" s="3">
        <f t="shared" si="1"/>
        <v>19</v>
      </c>
      <c r="C29" s="47">
        <f t="shared" si="2"/>
        <v>680.6538007740286</v>
      </c>
      <c r="D29" s="47">
        <f t="shared" si="3"/>
        <v>79.82291701645276</v>
      </c>
      <c r="E29" s="47">
        <f t="shared" si="4"/>
        <v>600.8308837575759</v>
      </c>
      <c r="F29" s="47">
        <f t="shared" si="5"/>
        <v>18556.66920019109</v>
      </c>
      <c r="G29" s="12">
        <f t="shared" si="6"/>
        <v>24.745104275100356</v>
      </c>
      <c r="H29" s="48">
        <f>IF(F28&lt;0.5,"",IF(OR(YEAR(A29)&lt;YEAR(A30),F29&lt;0.5),SUM($G$11:G29)-SUM($H$11:H28),""))</f>
      </c>
      <c r="I29" s="49">
        <f t="shared" si="7"/>
        <v>1933.0914148976276</v>
      </c>
      <c r="J29" s="49">
        <f t="shared" si="8"/>
        <v>10999.330799808915</v>
      </c>
      <c r="K29" s="48">
        <f t="shared" si="9"/>
        <v>12614.69268324899</v>
      </c>
      <c r="L29" s="48">
        <f t="shared" si="10"/>
        <v>531.5335324588083</v>
      </c>
    </row>
    <row r="30" spans="1:12" ht="12.75">
      <c r="A30" s="6">
        <f t="shared" si="0"/>
        <v>40969</v>
      </c>
      <c r="B30" s="3">
        <f t="shared" si="1"/>
        <v>20</v>
      </c>
      <c r="C30" s="47">
        <f t="shared" si="2"/>
        <v>680.6538007740286</v>
      </c>
      <c r="D30" s="47">
        <f t="shared" si="3"/>
        <v>77.3194550007962</v>
      </c>
      <c r="E30" s="47">
        <f t="shared" si="4"/>
        <v>603.3343457732324</v>
      </c>
      <c r="F30" s="47">
        <f t="shared" si="5"/>
        <v>17953.334854417855</v>
      </c>
      <c r="G30" s="12">
        <f t="shared" si="6"/>
        <v>23.96903105024682</v>
      </c>
      <c r="H30" s="48">
        <f>IF(F29&lt;0.5,"",IF(OR(YEAR(A30)&lt;YEAR(A31),F30&lt;0.5),SUM($G$11:G30)-SUM($H$11:H29),""))</f>
      </c>
      <c r="I30" s="49">
        <f t="shared" si="7"/>
        <v>2010.4108698984237</v>
      </c>
      <c r="J30" s="49">
        <f t="shared" si="8"/>
        <v>11602.665145582147</v>
      </c>
      <c r="K30" s="48">
        <f t="shared" si="9"/>
        <v>13262.191006506751</v>
      </c>
      <c r="L30" s="48">
        <f t="shared" si="10"/>
        <v>531.5335324588083</v>
      </c>
    </row>
    <row r="31" spans="1:12" ht="12.75">
      <c r="A31" s="6">
        <f t="shared" si="0"/>
        <v>41000</v>
      </c>
      <c r="B31" s="3">
        <f t="shared" si="1"/>
        <v>21</v>
      </c>
      <c r="C31" s="47">
        <f t="shared" si="2"/>
        <v>680.6538007740286</v>
      </c>
      <c r="D31" s="47">
        <f t="shared" si="3"/>
        <v>74.80556189340773</v>
      </c>
      <c r="E31" s="47">
        <f t="shared" si="4"/>
        <v>605.8482388806209</v>
      </c>
      <c r="F31" s="47">
        <f t="shared" si="5"/>
        <v>17347.486615537233</v>
      </c>
      <c r="G31" s="12">
        <f t="shared" si="6"/>
        <v>23.189724186956397</v>
      </c>
      <c r="H31" s="48">
        <f>IF(F30&lt;0.5,"",IF(OR(YEAR(A31)&lt;YEAR(A32),F31&lt;0.5),SUM($G$11:G31)-SUM($H$11:H30),""))</f>
      </c>
      <c r="I31" s="49">
        <f t="shared" si="7"/>
        <v>2085.2164317918314</v>
      </c>
      <c r="J31" s="49">
        <f t="shared" si="8"/>
        <v>12208.513384462767</v>
      </c>
      <c r="K31" s="48">
        <f t="shared" si="9"/>
        <v>13908.074620728958</v>
      </c>
      <c r="L31" s="48">
        <f t="shared" si="10"/>
        <v>531.5335324588083</v>
      </c>
    </row>
    <row r="32" spans="1:12" ht="12.75">
      <c r="A32" s="6">
        <f t="shared" si="0"/>
        <v>41030</v>
      </c>
      <c r="B32" s="3">
        <f t="shared" si="1"/>
        <v>22</v>
      </c>
      <c r="C32" s="47">
        <f t="shared" si="2"/>
        <v>680.6538007740286</v>
      </c>
      <c r="D32" s="47">
        <f t="shared" si="3"/>
        <v>72.28119423140514</v>
      </c>
      <c r="E32" s="47">
        <f t="shared" si="4"/>
        <v>608.3726065426234</v>
      </c>
      <c r="F32" s="47">
        <f t="shared" si="5"/>
        <v>16739.11400899461</v>
      </c>
      <c r="G32" s="12">
        <f t="shared" si="6"/>
        <v>22.407170211735593</v>
      </c>
      <c r="H32" s="48">
        <f>IF(F31&lt;0.5,"",IF(OR(YEAR(A32)&lt;YEAR(A33),F32&lt;0.5),SUM($G$11:G32)-SUM($H$11:H31),""))</f>
      </c>
      <c r="I32" s="49">
        <f t="shared" si="7"/>
        <v>2157.4976260232365</v>
      </c>
      <c r="J32" s="49">
        <f t="shared" si="8"/>
        <v>12816.88599100539</v>
      </c>
      <c r="K32" s="48">
        <f t="shared" si="9"/>
        <v>14552.347552621433</v>
      </c>
      <c r="L32" s="48">
        <f t="shared" si="10"/>
        <v>531.5335324588083</v>
      </c>
    </row>
    <row r="33" spans="1:12" ht="12.75">
      <c r="A33" s="6">
        <f t="shared" si="0"/>
        <v>41061</v>
      </c>
      <c r="B33" s="3">
        <f t="shared" si="1"/>
        <v>23</v>
      </c>
      <c r="C33" s="47">
        <f t="shared" si="2"/>
        <v>680.6538007740286</v>
      </c>
      <c r="D33" s="47">
        <f t="shared" si="3"/>
        <v>69.74630837081087</v>
      </c>
      <c r="E33" s="47">
        <f t="shared" si="4"/>
        <v>610.9074924032177</v>
      </c>
      <c r="F33" s="47">
        <f t="shared" si="5"/>
        <v>16128.206516591392</v>
      </c>
      <c r="G33" s="12">
        <f t="shared" si="6"/>
        <v>21.621355594951368</v>
      </c>
      <c r="H33" s="48">
        <f>IF(F32&lt;0.5,"",IF(OR(YEAR(A33)&lt;YEAR(A34),F33&lt;0.5),SUM($G$11:G33)-SUM($H$11:H32),""))</f>
      </c>
      <c r="I33" s="49">
        <f t="shared" si="7"/>
        <v>2227.2439343940473</v>
      </c>
      <c r="J33" s="49">
        <f t="shared" si="8"/>
        <v>13427.793483408608</v>
      </c>
      <c r="K33" s="48">
        <f t="shared" si="9"/>
        <v>15195.013818848342</v>
      </c>
      <c r="L33" s="48">
        <f t="shared" si="10"/>
        <v>531.5335324588083</v>
      </c>
    </row>
    <row r="34" spans="1:12" ht="12.75">
      <c r="A34" s="6">
        <f t="shared" si="0"/>
        <v>41091</v>
      </c>
      <c r="B34" s="3">
        <f t="shared" si="1"/>
        <v>24</v>
      </c>
      <c r="C34" s="47">
        <f t="shared" si="2"/>
        <v>680.6538007740286</v>
      </c>
      <c r="D34" s="47">
        <f t="shared" si="3"/>
        <v>67.20086048579746</v>
      </c>
      <c r="E34" s="47">
        <f t="shared" si="4"/>
        <v>613.4529402882312</v>
      </c>
      <c r="F34" s="47">
        <f t="shared" si="5"/>
        <v>15514.753576303161</v>
      </c>
      <c r="G34" s="12">
        <f t="shared" si="6"/>
        <v>20.832266750597213</v>
      </c>
      <c r="H34" s="48">
        <f>IF(F33&lt;0.5,"",IF(OR(YEAR(A34)&lt;YEAR(A35),F34&lt;0.5),SUM($G$11:G34)-SUM($H$11:H33),""))</f>
      </c>
      <c r="I34" s="49">
        <f t="shared" si="7"/>
        <v>2294.4447948798447</v>
      </c>
      <c r="J34" s="49">
        <f t="shared" si="8"/>
        <v>14041.246423696839</v>
      </c>
      <c r="K34" s="48">
        <f t="shared" si="9"/>
        <v>15836.077426057227</v>
      </c>
      <c r="L34" s="48">
        <f t="shared" si="10"/>
        <v>531.5335324588083</v>
      </c>
    </row>
    <row r="35" spans="1:12" ht="12.75">
      <c r="A35" s="6">
        <f t="shared" si="0"/>
        <v>41122</v>
      </c>
      <c r="B35" s="3">
        <f t="shared" si="1"/>
        <v>25</v>
      </c>
      <c r="C35" s="47">
        <f t="shared" si="2"/>
        <v>680.6538007740286</v>
      </c>
      <c r="D35" s="47">
        <f t="shared" si="3"/>
        <v>64.64480656792983</v>
      </c>
      <c r="E35" s="47">
        <f t="shared" si="4"/>
        <v>616.0089942060988</v>
      </c>
      <c r="F35" s="47">
        <f t="shared" si="5"/>
        <v>14898.744582097062</v>
      </c>
      <c r="G35" s="12">
        <f t="shared" si="6"/>
        <v>20.03989003605825</v>
      </c>
      <c r="H35" s="48">
        <f>IF(F34&lt;0.5,"",IF(OR(YEAR(A35)&lt;YEAR(A36),F35&lt;0.5),SUM($G$11:G35)-SUM($H$11:H34),""))</f>
      </c>
      <c r="I35" s="49">
        <f t="shared" si="7"/>
        <v>2359.0896014477744</v>
      </c>
      <c r="J35" s="49">
        <f t="shared" si="8"/>
        <v>14657.255417902938</v>
      </c>
      <c r="K35" s="48">
        <f t="shared" si="9"/>
        <v>16475.542370903997</v>
      </c>
      <c r="L35" s="48">
        <f t="shared" si="10"/>
        <v>531.5335324588083</v>
      </c>
    </row>
    <row r="36" spans="1:12" ht="12.75">
      <c r="A36" s="6">
        <f t="shared" si="0"/>
        <v>41153</v>
      </c>
      <c r="B36" s="3">
        <f t="shared" si="1"/>
        <v>26</v>
      </c>
      <c r="C36" s="47">
        <f t="shared" si="2"/>
        <v>680.6538007740286</v>
      </c>
      <c r="D36" s="47">
        <f t="shared" si="3"/>
        <v>62.078102425404424</v>
      </c>
      <c r="E36" s="47">
        <f t="shared" si="4"/>
        <v>618.5756983486242</v>
      </c>
      <c r="F36" s="47">
        <f t="shared" si="5"/>
        <v>14280.168883748438</v>
      </c>
      <c r="G36" s="12">
        <f t="shared" si="6"/>
        <v>19.244211751875373</v>
      </c>
      <c r="H36" s="48">
        <f>IF(F35&lt;0.5,"",IF(OR(YEAR(A36)&lt;YEAR(A37),F36&lt;0.5),SUM($G$11:G36)-SUM($H$11:H35),""))</f>
      </c>
      <c r="I36" s="49">
        <f t="shared" si="7"/>
        <v>2421.1677038731787</v>
      </c>
      <c r="J36" s="49">
        <f t="shared" si="8"/>
        <v>15275.831116251562</v>
      </c>
      <c r="K36" s="48">
        <f t="shared" si="9"/>
        <v>17113.412640077833</v>
      </c>
      <c r="L36" s="48">
        <f t="shared" si="10"/>
        <v>531.5335324588083</v>
      </c>
    </row>
    <row r="37" spans="1:12" ht="12.75">
      <c r="A37" s="6">
        <f t="shared" si="0"/>
        <v>41183</v>
      </c>
      <c r="B37" s="3">
        <f t="shared" si="1"/>
        <v>27</v>
      </c>
      <c r="C37" s="47">
        <f t="shared" si="2"/>
        <v>680.6538007740286</v>
      </c>
      <c r="D37" s="47">
        <f t="shared" si="3"/>
        <v>59.500703682285156</v>
      </c>
      <c r="E37" s="47">
        <f t="shared" si="4"/>
        <v>621.1530970917435</v>
      </c>
      <c r="F37" s="47">
        <f t="shared" si="5"/>
        <v>13659.015786656695</v>
      </c>
      <c r="G37" s="12">
        <f t="shared" si="6"/>
        <v>18.4452181415084</v>
      </c>
      <c r="H37" s="48">
        <f>IF(F36&lt;0.5,"",IF(OR(YEAR(A37)&lt;YEAR(A38),F37&lt;0.5),SUM($G$11:G37)-SUM($H$11:H36),""))</f>
      </c>
      <c r="I37" s="49">
        <f t="shared" si="7"/>
        <v>2480.668407555464</v>
      </c>
      <c r="J37" s="49">
        <f t="shared" si="8"/>
        <v>15896.984213343305</v>
      </c>
      <c r="K37" s="48">
        <f t="shared" si="9"/>
        <v>17749.692210326048</v>
      </c>
      <c r="L37" s="48">
        <f t="shared" si="10"/>
        <v>531.5335324588083</v>
      </c>
    </row>
    <row r="38" spans="1:12" ht="12.75">
      <c r="A38" s="6">
        <f t="shared" si="0"/>
        <v>41214</v>
      </c>
      <c r="B38" s="3">
        <f t="shared" si="1"/>
        <v>28</v>
      </c>
      <c r="C38" s="47">
        <f t="shared" si="2"/>
        <v>680.6538007740286</v>
      </c>
      <c r="D38" s="47">
        <f t="shared" si="3"/>
        <v>56.912565777736226</v>
      </c>
      <c r="E38" s="47">
        <f t="shared" si="4"/>
        <v>623.7412349962924</v>
      </c>
      <c r="F38" s="47">
        <f t="shared" si="5"/>
        <v>13035.274551660403</v>
      </c>
      <c r="G38" s="12">
        <f t="shared" si="6"/>
        <v>17.64289539109823</v>
      </c>
      <c r="H38" s="48">
        <f>IF(F37&lt;0.5,"",IF(OR(YEAR(A38)&lt;YEAR(A39),F38&lt;0.5),SUM($G$11:G38)-SUM($H$11:H37),""))</f>
      </c>
      <c r="I38" s="49">
        <f t="shared" si="7"/>
        <v>2537.5809733332003</v>
      </c>
      <c r="J38" s="49">
        <f t="shared" si="8"/>
        <v>16520.725448339595</v>
      </c>
      <c r="K38" s="48">
        <f t="shared" si="9"/>
        <v>18384.385048478878</v>
      </c>
      <c r="L38" s="48">
        <f t="shared" si="10"/>
        <v>531.5335324588083</v>
      </c>
    </row>
    <row r="39" spans="1:12" ht="12.75">
      <c r="A39" s="6">
        <f t="shared" si="0"/>
        <v>41244</v>
      </c>
      <c r="B39" s="3">
        <f t="shared" si="1"/>
        <v>29</v>
      </c>
      <c r="C39" s="47">
        <f t="shared" si="2"/>
        <v>680.6538007740286</v>
      </c>
      <c r="D39" s="47">
        <f t="shared" si="3"/>
        <v>54.31364396525168</v>
      </c>
      <c r="E39" s="47">
        <f t="shared" si="4"/>
        <v>626.3401568087769</v>
      </c>
      <c r="F39" s="47">
        <f t="shared" si="5"/>
        <v>12408.934394851625</v>
      </c>
      <c r="G39" s="12">
        <f t="shared" si="6"/>
        <v>16.83722962922802</v>
      </c>
      <c r="H39" s="48">
        <f>IF(F38&lt;0.5,"",IF(OR(YEAR(A39)&lt;YEAR(A40),F39&lt;0.5),SUM($G$11:G39)-SUM($H$11:H38),""))</f>
        <v>254.49205429845983</v>
      </c>
      <c r="I39" s="49">
        <f t="shared" si="7"/>
        <v>2591.894617298452</v>
      </c>
      <c r="J39" s="49">
        <f t="shared" si="8"/>
        <v>17147.06560514837</v>
      </c>
      <c r="K39" s="48">
        <f t="shared" si="9"/>
        <v>19017.49511147422</v>
      </c>
      <c r="L39" s="48">
        <f t="shared" si="10"/>
        <v>768.249290668764</v>
      </c>
    </row>
    <row r="40" spans="1:12" ht="12.75">
      <c r="A40" s="6">
        <f t="shared" si="0"/>
        <v>41275</v>
      </c>
      <c r="B40" s="19">
        <f t="shared" si="1"/>
        <v>30</v>
      </c>
      <c r="C40" s="50">
        <f t="shared" si="2"/>
        <v>680.6538007740286</v>
      </c>
      <c r="D40" s="50">
        <f t="shared" si="3"/>
        <v>51.70389331188177</v>
      </c>
      <c r="E40" s="50">
        <f t="shared" si="4"/>
        <v>628.9499074621468</v>
      </c>
      <c r="F40" s="50">
        <f t="shared" si="5"/>
        <v>11779.984487389478</v>
      </c>
      <c r="G40" s="21">
        <f t="shared" si="6"/>
        <v>16.02820692668335</v>
      </c>
      <c r="H40" s="48">
        <f>IF(F39&lt;0.5,"",IF(OR(YEAR(A40)&lt;YEAR(A41),F40&lt;0.5),SUM($G$11:G40)-SUM($H$11:H39),""))</f>
      </c>
      <c r="I40" s="51">
        <f t="shared" si="7"/>
        <v>2643.598510610334</v>
      </c>
      <c r="J40" s="51">
        <f t="shared" si="8"/>
        <v>17776.015512610516</v>
      </c>
      <c r="K40" s="52">
        <f t="shared" si="9"/>
        <v>19649.026346382296</v>
      </c>
      <c r="L40" s="48">
        <f t="shared" si="10"/>
        <v>768.249290668764</v>
      </c>
    </row>
    <row r="41" spans="1:12" ht="12.75">
      <c r="A41" s="6">
        <f t="shared" si="0"/>
        <v>41306</v>
      </c>
      <c r="B41" s="19">
        <f t="shared" si="1"/>
        <v>31</v>
      </c>
      <c r="C41" s="50">
        <f t="shared" si="2"/>
        <v>680.6538007740286</v>
      </c>
      <c r="D41" s="50">
        <f t="shared" si="3"/>
        <v>49.083268697456155</v>
      </c>
      <c r="E41" s="50">
        <f t="shared" si="4"/>
        <v>631.5705320765725</v>
      </c>
      <c r="F41" s="50">
        <f t="shared" si="5"/>
        <v>11148.413955312906</v>
      </c>
      <c r="G41" s="21">
        <f t="shared" si="6"/>
        <v>15.215813296211408</v>
      </c>
      <c r="H41" s="48">
        <f>IF(F40&lt;0.5,"",IF(OR(YEAR(A41)&lt;YEAR(A42),F41&lt;0.5),SUM($G$11:G41)-SUM($H$11:H40),""))</f>
      </c>
      <c r="I41" s="51">
        <f t="shared" si="7"/>
        <v>2692.6817793077903</v>
      </c>
      <c r="J41" s="51">
        <f t="shared" si="8"/>
        <v>18407.58604468709</v>
      </c>
      <c r="K41" s="52">
        <f t="shared" si="9"/>
        <v>20278.98269043025</v>
      </c>
      <c r="L41" s="48">
        <f t="shared" si="10"/>
        <v>768.249290668764</v>
      </c>
    </row>
    <row r="42" spans="1:12" ht="12.75">
      <c r="A42" s="6">
        <f t="shared" si="0"/>
        <v>41334</v>
      </c>
      <c r="B42" s="19">
        <f t="shared" si="1"/>
        <v>32</v>
      </c>
      <c r="C42" s="50">
        <f t="shared" si="2"/>
        <v>680.6538007740286</v>
      </c>
      <c r="D42" s="50">
        <f t="shared" si="3"/>
        <v>46.45172481380378</v>
      </c>
      <c r="E42" s="50">
        <f t="shared" si="4"/>
        <v>634.2020759602248</v>
      </c>
      <c r="F42" s="50">
        <f t="shared" si="5"/>
        <v>10514.21187935268</v>
      </c>
      <c r="G42" s="21">
        <f t="shared" si="6"/>
        <v>14.40003469227917</v>
      </c>
      <c r="H42" s="48">
        <f>IF(F41&lt;0.5,"",IF(OR(YEAR(A42)&lt;YEAR(A43),F42&lt;0.5),SUM($G$11:G42)-SUM($H$11:H41),""))</f>
      </c>
      <c r="I42" s="51">
        <f t="shared" si="7"/>
        <v>2739.133504121594</v>
      </c>
      <c r="J42" s="51">
        <f t="shared" si="8"/>
        <v>19041.788120647314</v>
      </c>
      <c r="K42" s="52">
        <f t="shared" si="9"/>
        <v>20907.368071026714</v>
      </c>
      <c r="L42" s="48">
        <f t="shared" si="10"/>
        <v>768.249290668764</v>
      </c>
    </row>
    <row r="43" spans="1:12" ht="12.75">
      <c r="A43" s="6">
        <f t="shared" si="0"/>
        <v>41365</v>
      </c>
      <c r="B43" s="19">
        <f t="shared" si="1"/>
        <v>33</v>
      </c>
      <c r="C43" s="50">
        <f t="shared" si="2"/>
        <v>680.6538007740286</v>
      </c>
      <c r="D43" s="50">
        <f t="shared" si="3"/>
        <v>43.8092161639695</v>
      </c>
      <c r="E43" s="50">
        <f t="shared" si="4"/>
        <v>636.8445846100591</v>
      </c>
      <c r="F43" s="50">
        <f t="shared" si="5"/>
        <v>9877.367294742622</v>
      </c>
      <c r="G43" s="21">
        <f t="shared" si="6"/>
        <v>13.580857010830545</v>
      </c>
      <c r="H43" s="48">
        <f>IF(F42&lt;0.5,"",IF(OR(YEAR(A43)&lt;YEAR(A44),F43&lt;0.5),SUM($G$11:G43)-SUM($H$11:H42),""))</f>
      </c>
      <c r="I43" s="51">
        <f t="shared" si="7"/>
        <v>2782.9427202855636</v>
      </c>
      <c r="J43" s="51">
        <f t="shared" si="8"/>
        <v>19678.632705257372</v>
      </c>
      <c r="K43" s="52">
        <f t="shared" si="9"/>
        <v>21534.186405786277</v>
      </c>
      <c r="L43" s="48">
        <f t="shared" si="10"/>
        <v>768.249290668764</v>
      </c>
    </row>
    <row r="44" spans="1:12" ht="12.75">
      <c r="A44" s="6">
        <f t="shared" si="0"/>
        <v>41395</v>
      </c>
      <c r="B44" s="19">
        <f t="shared" si="1"/>
        <v>34</v>
      </c>
      <c r="C44" s="50">
        <f t="shared" si="2"/>
        <v>680.6538007740286</v>
      </c>
      <c r="D44" s="50">
        <f t="shared" si="3"/>
        <v>41.15569706142759</v>
      </c>
      <c r="E44" s="50">
        <f t="shared" si="4"/>
        <v>639.498103712601</v>
      </c>
      <c r="F44" s="50">
        <f t="shared" si="5"/>
        <v>9237.86919103002</v>
      </c>
      <c r="G44" s="21">
        <f t="shared" si="6"/>
        <v>12.758266089042552</v>
      </c>
      <c r="H44" s="48">
        <f>IF(F43&lt;0.5,"",IF(OR(YEAR(A44)&lt;YEAR(A45),F44&lt;0.5),SUM($G$11:G44)-SUM($H$11:H43),""))</f>
      </c>
      <c r="I44" s="51">
        <f t="shared" si="7"/>
        <v>2824.098417346991</v>
      </c>
      <c r="J44" s="51">
        <f t="shared" si="8"/>
        <v>20318.130808969974</v>
      </c>
      <c r="K44" s="52">
        <f t="shared" si="9"/>
        <v>22159.44160255392</v>
      </c>
      <c r="L44" s="48">
        <f t="shared" si="10"/>
        <v>768.249290668764</v>
      </c>
    </row>
    <row r="45" spans="1:12" ht="12.75">
      <c r="A45" s="6">
        <f t="shared" si="0"/>
        <v>41426</v>
      </c>
      <c r="B45" s="19">
        <f t="shared" si="1"/>
        <v>35</v>
      </c>
      <c r="C45" s="50">
        <f t="shared" si="2"/>
        <v>680.6538007740286</v>
      </c>
      <c r="D45" s="50">
        <f t="shared" si="3"/>
        <v>38.491121629291754</v>
      </c>
      <c r="E45" s="50">
        <f t="shared" si="4"/>
        <v>642.1626791447368</v>
      </c>
      <c r="F45" s="50">
        <f t="shared" si="5"/>
        <v>8595.706511885284</v>
      </c>
      <c r="G45" s="21">
        <f t="shared" si="6"/>
        <v>11.932247705080444</v>
      </c>
      <c r="H45" s="48">
        <f>IF(F44&lt;0.5,"",IF(OR(YEAR(A45)&lt;YEAR(A46),F45&lt;0.5),SUM($G$11:G45)-SUM($H$11:H44),""))</f>
      </c>
      <c r="I45" s="51">
        <f t="shared" si="7"/>
        <v>2862.5895389762827</v>
      </c>
      <c r="J45" s="51">
        <f t="shared" si="8"/>
        <v>20960.293488114712</v>
      </c>
      <c r="K45" s="52">
        <f t="shared" si="9"/>
        <v>22783.13755942938</v>
      </c>
      <c r="L45" s="48">
        <f t="shared" si="10"/>
        <v>768.249290668764</v>
      </c>
    </row>
    <row r="46" spans="1:12" ht="12.75">
      <c r="A46" s="6">
        <f t="shared" si="0"/>
        <v>41456</v>
      </c>
      <c r="B46" s="19">
        <f t="shared" si="1"/>
        <v>36</v>
      </c>
      <c r="C46" s="50">
        <f t="shared" si="2"/>
        <v>680.6538007740286</v>
      </c>
      <c r="D46" s="50">
        <f t="shared" si="3"/>
        <v>35.815443799522015</v>
      </c>
      <c r="E46" s="50">
        <f t="shared" si="4"/>
        <v>644.8383569745066</v>
      </c>
      <c r="F46" s="50">
        <f t="shared" si="5"/>
        <v>7950.868154910778</v>
      </c>
      <c r="G46" s="21">
        <f t="shared" si="6"/>
        <v>11.102787577851824</v>
      </c>
      <c r="H46" s="48">
        <f>IF(F45&lt;0.5,"",IF(OR(YEAR(A46)&lt;YEAR(A47),F46&lt;0.5),SUM($G$11:G46)-SUM($H$11:H45),""))</f>
      </c>
      <c r="I46" s="51">
        <f t="shared" si="7"/>
        <v>2898.404982775805</v>
      </c>
      <c r="J46" s="51">
        <f t="shared" si="8"/>
        <v>21605.131845089218</v>
      </c>
      <c r="K46" s="52">
        <f t="shared" si="9"/>
        <v>23405.27816479143</v>
      </c>
      <c r="L46" s="48">
        <f t="shared" si="10"/>
        <v>768.249290668764</v>
      </c>
    </row>
    <row r="47" spans="1:12" ht="12.75">
      <c r="A47" s="6">
        <f t="shared" si="0"/>
        <v>41487</v>
      </c>
      <c r="B47" s="19">
        <f t="shared" si="1"/>
        <v>37</v>
      </c>
      <c r="C47" s="50">
        <f t="shared" si="2"/>
        <v>680.6538007740286</v>
      </c>
      <c r="D47" s="50">
        <f t="shared" si="3"/>
        <v>33.12861731212824</v>
      </c>
      <c r="E47" s="50">
        <f t="shared" si="4"/>
        <v>647.5251834619004</v>
      </c>
      <c r="F47" s="50">
        <f t="shared" si="5"/>
        <v>7303.3429714488775</v>
      </c>
      <c r="G47" s="21">
        <f t="shared" si="6"/>
        <v>10.269871366759755</v>
      </c>
      <c r="H47" s="48">
        <f>IF(F46&lt;0.5,"",IF(OR(YEAR(A47)&lt;YEAR(A48),F47&lt;0.5),SUM($G$11:G47)-SUM($H$11:H46),""))</f>
      </c>
      <c r="I47" s="51">
        <f t="shared" si="7"/>
        <v>2931.5336000879333</v>
      </c>
      <c r="J47" s="51">
        <f t="shared" si="8"/>
        <v>22252.65702855112</v>
      </c>
      <c r="K47" s="52">
        <f t="shared" si="9"/>
        <v>24025.867297322155</v>
      </c>
      <c r="L47" s="48">
        <f t="shared" si="10"/>
        <v>768.249290668764</v>
      </c>
    </row>
    <row r="48" spans="1:12" ht="12.75">
      <c r="A48" s="6">
        <f t="shared" si="0"/>
        <v>41518</v>
      </c>
      <c r="B48" s="19">
        <f t="shared" si="1"/>
        <v>38</v>
      </c>
      <c r="C48" s="50">
        <f t="shared" si="2"/>
        <v>680.6538007740286</v>
      </c>
      <c r="D48" s="50">
        <f t="shared" si="3"/>
        <v>30.430595714370323</v>
      </c>
      <c r="E48" s="50">
        <f t="shared" si="4"/>
        <v>650.2232050596583</v>
      </c>
      <c r="F48" s="50">
        <f t="shared" si="5"/>
        <v>6653.119766389219</v>
      </c>
      <c r="G48" s="21">
        <f t="shared" si="6"/>
        <v>9.4334846714548</v>
      </c>
      <c r="H48" s="48">
        <f>IF(F47&lt;0.5,"",IF(OR(YEAR(A48)&lt;YEAR(A49),F48&lt;0.5),SUM($G$11:G48)-SUM($H$11:H47),""))</f>
      </c>
      <c r="I48" s="51">
        <f t="shared" si="7"/>
        <v>2961.9641958023035</v>
      </c>
      <c r="J48" s="51">
        <f t="shared" si="8"/>
        <v>22902.880233610776</v>
      </c>
      <c r="K48" s="52">
        <f t="shared" si="9"/>
        <v>24644.908826031107</v>
      </c>
      <c r="L48" s="48">
        <f t="shared" si="10"/>
        <v>768.249290668764</v>
      </c>
    </row>
    <row r="49" spans="1:12" ht="12.75">
      <c r="A49" s="6">
        <f t="shared" si="0"/>
        <v>41548</v>
      </c>
      <c r="B49" s="19">
        <f t="shared" si="1"/>
        <v>39</v>
      </c>
      <c r="C49" s="50">
        <f t="shared" si="2"/>
        <v>680.6538007740286</v>
      </c>
      <c r="D49" s="50">
        <f t="shared" si="3"/>
        <v>27.721332359955078</v>
      </c>
      <c r="E49" s="50">
        <f t="shared" si="4"/>
        <v>652.9324684140735</v>
      </c>
      <c r="F49" s="50">
        <f t="shared" si="5"/>
        <v>6000.187297975145</v>
      </c>
      <c r="G49" s="21">
        <f t="shared" si="6"/>
        <v>8.593613031586074</v>
      </c>
      <c r="H49" s="48">
        <f>IF(F48&lt;0.5,"",IF(OR(YEAR(A49)&lt;YEAR(A50),F49&lt;0.5),SUM($G$11:G49)-SUM($H$11:H48),""))</f>
      </c>
      <c r="I49" s="51">
        <f t="shared" si="7"/>
        <v>2989.6855281622584</v>
      </c>
      <c r="J49" s="51">
        <f t="shared" si="8"/>
        <v>23555.81270202485</v>
      </c>
      <c r="K49" s="52">
        <f t="shared" si="9"/>
        <v>25262.40661027944</v>
      </c>
      <c r="L49" s="48">
        <f t="shared" si="10"/>
        <v>768.249290668764</v>
      </c>
    </row>
    <row r="50" spans="1:12" ht="12.75">
      <c r="A50" s="6">
        <f t="shared" si="0"/>
        <v>41579</v>
      </c>
      <c r="B50" s="19">
        <f t="shared" si="1"/>
        <v>40</v>
      </c>
      <c r="C50" s="50">
        <f t="shared" si="2"/>
        <v>680.6538007740286</v>
      </c>
      <c r="D50" s="50">
        <f t="shared" si="3"/>
        <v>25.000780408229772</v>
      </c>
      <c r="E50" s="50">
        <f t="shared" si="4"/>
        <v>655.6530203657989</v>
      </c>
      <c r="F50" s="50">
        <f t="shared" si="5"/>
        <v>5344.534277609347</v>
      </c>
      <c r="G50" s="21">
        <f t="shared" si="6"/>
        <v>7.7502419265512295</v>
      </c>
      <c r="H50" s="48">
        <f>IF(F49&lt;0.5,"",IF(OR(YEAR(A50)&lt;YEAR(A51),F50&lt;0.5),SUM($G$11:G50)-SUM($H$11:H49),""))</f>
      </c>
      <c r="I50" s="51">
        <f t="shared" si="7"/>
        <v>3014.686308570488</v>
      </c>
      <c r="J50" s="51">
        <f t="shared" si="8"/>
        <v>24211.46572239065</v>
      </c>
      <c r="K50" s="52">
        <f t="shared" si="9"/>
        <v>25878.36449980396</v>
      </c>
      <c r="L50" s="48">
        <f t="shared" si="10"/>
        <v>768.249290668764</v>
      </c>
    </row>
    <row r="51" spans="1:12" ht="12.75">
      <c r="A51" s="6">
        <f t="shared" si="0"/>
        <v>41609</v>
      </c>
      <c r="B51" s="19">
        <f t="shared" si="1"/>
        <v>41</v>
      </c>
      <c r="C51" s="50">
        <f t="shared" si="2"/>
        <v>680.6538007740286</v>
      </c>
      <c r="D51" s="50">
        <f t="shared" si="3"/>
        <v>22.268892823372276</v>
      </c>
      <c r="E51" s="50">
        <f t="shared" si="4"/>
        <v>658.3849079506563</v>
      </c>
      <c r="F51" s="50">
        <f t="shared" si="5"/>
        <v>4686.14936965869</v>
      </c>
      <c r="G51" s="21">
        <f t="shared" si="6"/>
        <v>6.903356775245405</v>
      </c>
      <c r="H51" s="48">
        <f>IF(F50&lt;0.5,"",IF(OR(YEAR(A51)&lt;YEAR(A52),F51&lt;0.5),SUM($G$11:G51)-SUM($H$11:H50),""))</f>
        <v>137.9687810695765</v>
      </c>
      <c r="I51" s="51">
        <f t="shared" si="7"/>
        <v>3036.9552013938605</v>
      </c>
      <c r="J51" s="51">
        <f t="shared" si="8"/>
        <v>24869.85063034131</v>
      </c>
      <c r="K51" s="52">
        <f t="shared" si="9"/>
        <v>26492.786334741137</v>
      </c>
      <c r="L51" s="48">
        <f t="shared" si="10"/>
        <v>892.7928273865706</v>
      </c>
    </row>
    <row r="52" spans="1:12" ht="12.75">
      <c r="A52" s="6">
        <f t="shared" si="0"/>
        <v>41640</v>
      </c>
      <c r="B52" s="19">
        <f t="shared" si="1"/>
        <v>42</v>
      </c>
      <c r="C52" s="50">
        <f t="shared" si="2"/>
        <v>680.6538007740286</v>
      </c>
      <c r="D52" s="50">
        <f t="shared" si="3"/>
        <v>19.525622373577875</v>
      </c>
      <c r="E52" s="50">
        <f t="shared" si="4"/>
        <v>661.1281784004507</v>
      </c>
      <c r="F52" s="50">
        <f t="shared" si="5"/>
        <v>4025.02119125824</v>
      </c>
      <c r="G52" s="21">
        <f t="shared" si="6"/>
        <v>6.052942935809141</v>
      </c>
      <c r="H52" s="48">
        <f>IF(F51&lt;0.5,"",IF(OR(YEAR(A52)&lt;YEAR(A53),F52&lt;0.5),SUM($G$11:G52)-SUM($H$11:H51),""))</f>
      </c>
      <c r="I52" s="51">
        <f t="shared" si="7"/>
        <v>3056.4808237674383</v>
      </c>
      <c r="J52" s="51">
        <f t="shared" si="8"/>
        <v>25530.97880874176</v>
      </c>
      <c r="K52" s="52">
        <f t="shared" si="9"/>
        <v>27105.675945651037</v>
      </c>
      <c r="L52" s="48">
        <f t="shared" si="10"/>
        <v>892.7928273865706</v>
      </c>
    </row>
    <row r="53" spans="1:12" ht="12.75">
      <c r="A53" s="6">
        <f t="shared" si="0"/>
        <v>41671</v>
      </c>
      <c r="B53" s="19">
        <f t="shared" si="1"/>
        <v>43</v>
      </c>
      <c r="C53" s="50">
        <f t="shared" si="2"/>
        <v>680.6538007740286</v>
      </c>
      <c r="D53" s="50">
        <f t="shared" si="3"/>
        <v>16.770921630242665</v>
      </c>
      <c r="E53" s="50">
        <f t="shared" si="4"/>
        <v>663.8828791437859</v>
      </c>
      <c r="F53" s="50">
        <f t="shared" si="5"/>
        <v>3361.138312114454</v>
      </c>
      <c r="G53" s="21">
        <f t="shared" si="6"/>
        <v>5.198985705375226</v>
      </c>
      <c r="H53" s="48">
        <f>IF(F52&lt;0.5,"",IF(OR(YEAR(A53)&lt;YEAR(A54),F53&lt;0.5),SUM($G$11:G53)-SUM($H$11:H52),""))</f>
      </c>
      <c r="I53" s="51">
        <f t="shared" si="7"/>
        <v>3073.251745397681</v>
      </c>
      <c r="J53" s="51">
        <f t="shared" si="8"/>
        <v>26194.861687885543</v>
      </c>
      <c r="K53" s="52">
        <f t="shared" si="9"/>
        <v>27717.037153541212</v>
      </c>
      <c r="L53" s="48">
        <f t="shared" si="10"/>
        <v>892.7928273865706</v>
      </c>
    </row>
    <row r="54" spans="1:12" ht="12.75">
      <c r="A54" s="6">
        <f t="shared" si="0"/>
        <v>41699</v>
      </c>
      <c r="B54" s="19">
        <f t="shared" si="1"/>
        <v>44</v>
      </c>
      <c r="C54" s="50">
        <f t="shared" si="2"/>
        <v>680.6538007740286</v>
      </c>
      <c r="D54" s="50">
        <f t="shared" si="3"/>
        <v>14.004742967143558</v>
      </c>
      <c r="E54" s="50">
        <f t="shared" si="4"/>
        <v>666.649057806885</v>
      </c>
      <c r="F54" s="50">
        <f t="shared" si="5"/>
        <v>2694.489254307569</v>
      </c>
      <c r="G54" s="21">
        <f t="shared" si="6"/>
        <v>4.341470319814503</v>
      </c>
      <c r="H54" s="48">
        <f>IF(F53&lt;0.5,"",IF(OR(YEAR(A54)&lt;YEAR(A55),F54&lt;0.5),SUM($G$11:G54)-SUM($H$11:H53),""))</f>
      </c>
      <c r="I54" s="51">
        <f t="shared" si="7"/>
        <v>3087.2564883648247</v>
      </c>
      <c r="J54" s="51">
        <f t="shared" si="8"/>
        <v>26861.510745692427</v>
      </c>
      <c r="K54" s="52">
        <f t="shared" si="9"/>
        <v>28326.873769890517</v>
      </c>
      <c r="L54" s="48">
        <f t="shared" si="10"/>
        <v>892.7928273865706</v>
      </c>
    </row>
    <row r="55" spans="1:12" ht="12.75">
      <c r="A55" s="6">
        <f t="shared" si="0"/>
        <v>41730</v>
      </c>
      <c r="B55" s="19">
        <f t="shared" si="1"/>
        <v>45</v>
      </c>
      <c r="C55" s="50">
        <f t="shared" si="2"/>
        <v>680.6538007740286</v>
      </c>
      <c r="D55" s="50">
        <f t="shared" si="3"/>
        <v>11.22703855961487</v>
      </c>
      <c r="E55" s="50">
        <f t="shared" si="4"/>
        <v>669.4267622144137</v>
      </c>
      <c r="F55" s="50">
        <f t="shared" si="5"/>
        <v>2025.0624920931552</v>
      </c>
      <c r="G55" s="21">
        <f t="shared" si="6"/>
        <v>3.48038195348061</v>
      </c>
      <c r="H55" s="48">
        <f>IF(F54&lt;0.5,"",IF(OR(YEAR(A55)&lt;YEAR(A56),F55&lt;0.5),SUM($G$11:G55)-SUM($H$11:H54),""))</f>
      </c>
      <c r="I55" s="51">
        <f t="shared" si="7"/>
        <v>3098.4835269244395</v>
      </c>
      <c r="J55" s="51">
        <f t="shared" si="8"/>
        <v>27530.93750790684</v>
      </c>
      <c r="K55" s="52">
        <f t="shared" si="9"/>
        <v>28935.189596672866</v>
      </c>
      <c r="L55" s="48">
        <f t="shared" si="10"/>
        <v>892.7928273865706</v>
      </c>
    </row>
    <row r="56" spans="1:12" ht="12.75">
      <c r="A56" s="6">
        <f t="shared" si="0"/>
        <v>41760</v>
      </c>
      <c r="B56" s="19">
        <f t="shared" si="1"/>
        <v>46</v>
      </c>
      <c r="C56" s="50">
        <f t="shared" si="2"/>
        <v>680.6538007740286</v>
      </c>
      <c r="D56" s="50">
        <f t="shared" si="3"/>
        <v>8.43776038372148</v>
      </c>
      <c r="E56" s="50">
        <f t="shared" si="4"/>
        <v>672.2160403903071</v>
      </c>
      <c r="F56" s="50">
        <f t="shared" si="5"/>
        <v>1352.8464517028483</v>
      </c>
      <c r="G56" s="21">
        <f t="shared" si="6"/>
        <v>2.615705718953659</v>
      </c>
      <c r="H56" s="48">
        <f>IF(F55&lt;0.5,"",IF(OR(YEAR(A56)&lt;YEAR(A57),F56&lt;0.5),SUM($G$11:G56)-SUM($H$11:H55),""))</f>
      </c>
      <c r="I56" s="51">
        <f t="shared" si="7"/>
        <v>3106.921287308161</v>
      </c>
      <c r="J56" s="51">
        <f t="shared" si="8"/>
        <v>28203.15354829715</v>
      </c>
      <c r="K56" s="52">
        <f t="shared" si="9"/>
        <v>29541.988426380944</v>
      </c>
      <c r="L56" s="48">
        <f t="shared" si="10"/>
        <v>892.7928273865706</v>
      </c>
    </row>
    <row r="57" spans="1:12" ht="12.75">
      <c r="A57" s="6">
        <f t="shared" si="0"/>
        <v>41791</v>
      </c>
      <c r="B57" s="19">
        <f t="shared" si="1"/>
        <v>47</v>
      </c>
      <c r="C57" s="50">
        <f t="shared" si="2"/>
        <v>680.6538007740286</v>
      </c>
      <c r="D57" s="50">
        <f t="shared" si="3"/>
        <v>5.636860215428534</v>
      </c>
      <c r="E57" s="50">
        <f t="shared" si="4"/>
        <v>675.0169405586</v>
      </c>
      <c r="F57" s="50">
        <f t="shared" si="5"/>
        <v>677.8295111442483</v>
      </c>
      <c r="G57" s="21">
        <f t="shared" si="6"/>
        <v>1.7474266667828455</v>
      </c>
      <c r="H57" s="48">
        <f>IF(F56&lt;0.5,"",IF(OR(YEAR(A57)&lt;YEAR(A58),F57&lt;0.5),SUM($G$11:G57)-SUM($H$11:H56),""))</f>
      </c>
      <c r="I57" s="51">
        <f t="shared" si="7"/>
        <v>3112.5581475235895</v>
      </c>
      <c r="J57" s="51">
        <f t="shared" si="8"/>
        <v>28878.170488855747</v>
      </c>
      <c r="K57" s="52">
        <f t="shared" si="9"/>
        <v>30147.27404204985</v>
      </c>
      <c r="L57" s="48">
        <f t="shared" si="10"/>
        <v>892.7928273865706</v>
      </c>
    </row>
    <row r="58" spans="1:12" ht="12.75">
      <c r="A58" s="6">
        <f t="shared" si="0"/>
        <v>41821</v>
      </c>
      <c r="B58" s="19">
        <f t="shared" si="1"/>
        <v>48</v>
      </c>
      <c r="C58" s="50">
        <f t="shared" si="2"/>
        <v>680.6538007740286</v>
      </c>
      <c r="D58" s="50">
        <f t="shared" si="3"/>
        <v>2.824289629767701</v>
      </c>
      <c r="E58" s="50">
        <f t="shared" si="4"/>
        <v>677.8295111442609</v>
      </c>
      <c r="F58" s="50">
        <f t="shared" si="5"/>
        <v>-1.261923898709938E-11</v>
      </c>
      <c r="G58" s="21">
        <f t="shared" si="6"/>
        <v>0.8755297852279873</v>
      </c>
      <c r="H58" s="48">
        <f>IF(F57&lt;0.5,"",IF(OR(YEAR(A58)&lt;YEAR(A59),F58&lt;0.5),SUM($G$11:G58)-SUM($H$11:H57),""))</f>
        <v>24.312443085443874</v>
      </c>
      <c r="I58" s="51">
        <f t="shared" si="7"/>
        <v>3115.3824371533574</v>
      </c>
      <c r="J58" s="51">
        <f t="shared" si="8"/>
        <v>29556.000000000007</v>
      </c>
      <c r="K58" s="52">
        <f t="shared" si="9"/>
        <v>30751.050217280677</v>
      </c>
      <c r="L58" s="48">
        <f t="shared" si="10"/>
        <v>914.359259367048</v>
      </c>
    </row>
    <row r="59" spans="1:12" ht="12.75">
      <c r="A59" s="6">
        <f t="shared" si="0"/>
        <v>41852</v>
      </c>
      <c r="B59" s="19">
        <f t="shared" si="1"/>
        <v>49</v>
      </c>
      <c r="C59" s="50">
        <f t="shared" si="2"/>
      </c>
      <c r="D59" s="50">
        <f t="shared" si="3"/>
      </c>
      <c r="E59" s="50">
        <f t="shared" si="4"/>
      </c>
      <c r="F59" s="50">
        <f t="shared" si="5"/>
        <v>0</v>
      </c>
      <c r="G59" s="21">
        <f t="shared" si="6"/>
      </c>
      <c r="H59" s="48">
        <f>IF(F58&lt;0.5,"",IF(OR(YEAR(A59)&lt;YEAR(A60),F59&lt;0.5),SUM($G$11:G59)-SUM($H$11:H58),""))</f>
      </c>
      <c r="I59" s="51">
        <f t="shared" si="7"/>
      </c>
      <c r="J59" s="51">
        <f t="shared" si="8"/>
      </c>
      <c r="K59" s="52">
        <f t="shared" si="9"/>
      </c>
      <c r="L59" s="48">
        <f t="shared" si="10"/>
      </c>
    </row>
    <row r="60" spans="1:12" ht="12.75">
      <c r="A60" s="6">
        <f t="shared" si="0"/>
        <v>41883</v>
      </c>
      <c r="B60" s="19">
        <f t="shared" si="1"/>
        <v>50</v>
      </c>
      <c r="C60" s="50">
        <f t="shared" si="2"/>
      </c>
      <c r="D60" s="50">
        <f t="shared" si="3"/>
      </c>
      <c r="E60" s="50">
        <f t="shared" si="4"/>
      </c>
      <c r="F60" s="50">
        <f t="shared" si="5"/>
        <v>0</v>
      </c>
      <c r="G60" s="21">
        <f t="shared" si="6"/>
      </c>
      <c r="H60" s="48">
        <f>IF(F59&lt;0.5,"",IF(OR(YEAR(A60)&lt;YEAR(A61),F60&lt;0.5),SUM($G$11:G60)-SUM($H$11:H59),""))</f>
      </c>
      <c r="I60" s="51">
        <f t="shared" si="7"/>
      </c>
      <c r="J60" s="51">
        <f t="shared" si="8"/>
      </c>
      <c r="K60" s="52">
        <f t="shared" si="9"/>
      </c>
      <c r="L60" s="48">
        <f t="shared" si="10"/>
      </c>
    </row>
    <row r="61" spans="1:12" ht="12.75">
      <c r="A61" s="6">
        <f t="shared" si="0"/>
        <v>41913</v>
      </c>
      <c r="B61" s="19">
        <f t="shared" si="1"/>
        <v>51</v>
      </c>
      <c r="C61" s="50">
        <f t="shared" si="2"/>
      </c>
      <c r="D61" s="50">
        <f t="shared" si="3"/>
      </c>
      <c r="E61" s="50">
        <f t="shared" si="4"/>
      </c>
      <c r="F61" s="50">
        <f t="shared" si="5"/>
        <v>0</v>
      </c>
      <c r="G61" s="21">
        <f t="shared" si="6"/>
      </c>
      <c r="H61" s="48">
        <f>IF(F60&lt;0.5,"",IF(OR(YEAR(A61)&lt;YEAR(A62),F61&lt;0.5),SUM($G$11:G61)-SUM($H$11:H60),""))</f>
      </c>
      <c r="I61" s="51">
        <f t="shared" si="7"/>
      </c>
      <c r="J61" s="51">
        <f t="shared" si="8"/>
      </c>
      <c r="K61" s="52">
        <f t="shared" si="9"/>
      </c>
      <c r="L61" s="48">
        <f t="shared" si="10"/>
      </c>
    </row>
    <row r="62" spans="1:12" ht="12.75">
      <c r="A62" s="6">
        <f t="shared" si="0"/>
        <v>41944</v>
      </c>
      <c r="B62" s="19">
        <f t="shared" si="1"/>
        <v>52</v>
      </c>
      <c r="C62" s="50">
        <f t="shared" si="2"/>
      </c>
      <c r="D62" s="50">
        <f t="shared" si="3"/>
      </c>
      <c r="E62" s="50">
        <f t="shared" si="4"/>
      </c>
      <c r="F62" s="50">
        <f t="shared" si="5"/>
        <v>0</v>
      </c>
      <c r="G62" s="21">
        <f t="shared" si="6"/>
      </c>
      <c r="H62" s="48">
        <f>IF(F61&lt;0.5,"",IF(OR(YEAR(A62)&lt;YEAR(A63),F62&lt;0.5),SUM($G$11:G62)-SUM($H$11:H61),""))</f>
      </c>
      <c r="I62" s="51">
        <f t="shared" si="7"/>
      </c>
      <c r="J62" s="51">
        <f t="shared" si="8"/>
      </c>
      <c r="K62" s="52">
        <f t="shared" si="9"/>
      </c>
      <c r="L62" s="48">
        <f t="shared" si="10"/>
      </c>
    </row>
    <row r="63" spans="1:12" ht="12.75">
      <c r="A63" s="6">
        <f t="shared" si="0"/>
        <v>41974</v>
      </c>
      <c r="B63" s="19">
        <f t="shared" si="1"/>
        <v>53</v>
      </c>
      <c r="C63" s="50">
        <f t="shared" si="2"/>
      </c>
      <c r="D63" s="50">
        <f t="shared" si="3"/>
      </c>
      <c r="E63" s="50">
        <f t="shared" si="4"/>
      </c>
      <c r="F63" s="50">
        <f t="shared" si="5"/>
        <v>0</v>
      </c>
      <c r="G63" s="21">
        <f t="shared" si="6"/>
      </c>
      <c r="H63" s="48">
        <f>IF(F62&lt;0.5,"",IF(OR(YEAR(A63)&lt;YEAR(A64),F63&lt;0.5),SUM($G$11:G63)-SUM($H$11:H62),""))</f>
      </c>
      <c r="I63" s="51">
        <f t="shared" si="7"/>
      </c>
      <c r="J63" s="51">
        <f t="shared" si="8"/>
      </c>
      <c r="K63" s="52">
        <f t="shared" si="9"/>
      </c>
      <c r="L63" s="48">
        <f t="shared" si="10"/>
      </c>
    </row>
    <row r="64" spans="1:12" ht="12.75">
      <c r="A64" s="6">
        <f t="shared" si="0"/>
        <v>42005</v>
      </c>
      <c r="B64" s="19">
        <f t="shared" si="1"/>
        <v>54</v>
      </c>
      <c r="C64" s="50">
        <f t="shared" si="2"/>
      </c>
      <c r="D64" s="50">
        <f t="shared" si="3"/>
      </c>
      <c r="E64" s="50">
        <f t="shared" si="4"/>
      </c>
      <c r="F64" s="50">
        <f t="shared" si="5"/>
        <v>0</v>
      </c>
      <c r="G64" s="21">
        <f t="shared" si="6"/>
      </c>
      <c r="H64" s="48">
        <f>IF(F63&lt;0.5,"",IF(OR(YEAR(A64)&lt;YEAR(A65),F64&lt;0.5),SUM($G$11:G64)-SUM($H$11:H63),""))</f>
      </c>
      <c r="I64" s="51">
        <f t="shared" si="7"/>
      </c>
      <c r="J64" s="51">
        <f t="shared" si="8"/>
      </c>
      <c r="K64" s="52">
        <f t="shared" si="9"/>
      </c>
      <c r="L64" s="48">
        <f t="shared" si="10"/>
      </c>
    </row>
    <row r="65" spans="1:12" ht="12.75">
      <c r="A65" s="6">
        <f t="shared" si="0"/>
        <v>42036</v>
      </c>
      <c r="B65" s="19">
        <f t="shared" si="1"/>
        <v>55</v>
      </c>
      <c r="C65" s="50">
        <f t="shared" si="2"/>
      </c>
      <c r="D65" s="50">
        <f t="shared" si="3"/>
      </c>
      <c r="E65" s="50">
        <f t="shared" si="4"/>
      </c>
      <c r="F65" s="50">
        <f t="shared" si="5"/>
        <v>0</v>
      </c>
      <c r="G65" s="21">
        <f t="shared" si="6"/>
      </c>
      <c r="H65" s="48">
        <f>IF(F64&lt;0.5,"",IF(OR(YEAR(A65)&lt;YEAR(A66),F65&lt;0.5),SUM($G$11:G65)-SUM($H$11:H64),""))</f>
      </c>
      <c r="I65" s="51">
        <f t="shared" si="7"/>
      </c>
      <c r="J65" s="51">
        <f t="shared" si="8"/>
      </c>
      <c r="K65" s="52">
        <f t="shared" si="9"/>
      </c>
      <c r="L65" s="48">
        <f t="shared" si="10"/>
      </c>
    </row>
    <row r="66" spans="1:12" ht="12.75">
      <c r="A66" s="6">
        <f t="shared" si="0"/>
        <v>42064</v>
      </c>
      <c r="B66" s="19">
        <f t="shared" si="1"/>
        <v>56</v>
      </c>
      <c r="C66" s="50">
        <f t="shared" si="2"/>
      </c>
      <c r="D66" s="50">
        <f t="shared" si="3"/>
      </c>
      <c r="E66" s="50">
        <f t="shared" si="4"/>
      </c>
      <c r="F66" s="50">
        <f t="shared" si="5"/>
        <v>0</v>
      </c>
      <c r="G66" s="21">
        <f t="shared" si="6"/>
      </c>
      <c r="H66" s="48">
        <f>IF(F65&lt;0.5,"",IF(OR(YEAR(A66)&lt;YEAR(A67),F66&lt;0.5),SUM($G$11:G66)-SUM($H$11:H65),""))</f>
      </c>
      <c r="I66" s="51">
        <f t="shared" si="7"/>
      </c>
      <c r="J66" s="51">
        <f t="shared" si="8"/>
      </c>
      <c r="K66" s="52">
        <f t="shared" si="9"/>
      </c>
      <c r="L66" s="48">
        <f t="shared" si="10"/>
      </c>
    </row>
    <row r="67" spans="1:12" ht="12.75">
      <c r="A67" s="6">
        <f t="shared" si="0"/>
        <v>42095</v>
      </c>
      <c r="B67" s="19">
        <f t="shared" si="1"/>
        <v>57</v>
      </c>
      <c r="C67" s="50">
        <f t="shared" si="2"/>
      </c>
      <c r="D67" s="50">
        <f t="shared" si="3"/>
      </c>
      <c r="E67" s="50">
        <f t="shared" si="4"/>
      </c>
      <c r="F67" s="50">
        <f t="shared" si="5"/>
        <v>0</v>
      </c>
      <c r="G67" s="21">
        <f t="shared" si="6"/>
      </c>
      <c r="H67" s="48">
        <f>IF(F66&lt;0.5,"",IF(OR(YEAR(A67)&lt;YEAR(A68),F67&lt;0.5),SUM($G$11:G67)-SUM($H$11:H66),""))</f>
      </c>
      <c r="I67" s="51">
        <f t="shared" si="7"/>
      </c>
      <c r="J67" s="51">
        <f t="shared" si="8"/>
      </c>
      <c r="K67" s="52">
        <f t="shared" si="9"/>
      </c>
      <c r="L67" s="48">
        <f t="shared" si="10"/>
      </c>
    </row>
    <row r="68" spans="1:12" ht="12.75">
      <c r="A68" s="6">
        <f t="shared" si="0"/>
        <v>42125</v>
      </c>
      <c r="B68" s="19">
        <f t="shared" si="1"/>
        <v>58</v>
      </c>
      <c r="C68" s="50">
        <f t="shared" si="2"/>
      </c>
      <c r="D68" s="50">
        <f t="shared" si="3"/>
      </c>
      <c r="E68" s="50">
        <f t="shared" si="4"/>
      </c>
      <c r="F68" s="50">
        <f t="shared" si="5"/>
        <v>0</v>
      </c>
      <c r="G68" s="21">
        <f t="shared" si="6"/>
      </c>
      <c r="H68" s="48">
        <f>IF(F67&lt;0.5,"",IF(OR(YEAR(A68)&lt;YEAR(A69),F68&lt;0.5),SUM($G$11:G68)-SUM($H$11:H67),""))</f>
      </c>
      <c r="I68" s="51">
        <f t="shared" si="7"/>
      </c>
      <c r="J68" s="51">
        <f t="shared" si="8"/>
      </c>
      <c r="K68" s="52">
        <f t="shared" si="9"/>
      </c>
      <c r="L68" s="48">
        <f t="shared" si="10"/>
      </c>
    </row>
    <row r="69" spans="1:12" ht="12.75">
      <c r="A69" s="6">
        <f t="shared" si="0"/>
        <v>42156</v>
      </c>
      <c r="B69" s="19">
        <f t="shared" si="1"/>
        <v>59</v>
      </c>
      <c r="C69" s="50">
        <f t="shared" si="2"/>
      </c>
      <c r="D69" s="50">
        <f t="shared" si="3"/>
      </c>
      <c r="E69" s="50">
        <f t="shared" si="4"/>
      </c>
      <c r="F69" s="50">
        <f t="shared" si="5"/>
        <v>0</v>
      </c>
      <c r="G69" s="21">
        <f t="shared" si="6"/>
      </c>
      <c r="H69" s="48">
        <f>IF(F68&lt;0.5,"",IF(OR(YEAR(A69)&lt;YEAR(A70),F69&lt;0.5),SUM($G$11:G69)-SUM($H$11:H68),""))</f>
      </c>
      <c r="I69" s="51">
        <f t="shared" si="7"/>
      </c>
      <c r="J69" s="51">
        <f t="shared" si="8"/>
      </c>
      <c r="K69" s="52">
        <f t="shared" si="9"/>
      </c>
      <c r="L69" s="48">
        <f t="shared" si="10"/>
      </c>
    </row>
    <row r="70" spans="1:12" ht="12.75">
      <c r="A70" s="6">
        <f t="shared" si="0"/>
        <v>42186</v>
      </c>
      <c r="B70" s="19">
        <f t="shared" si="1"/>
        <v>60</v>
      </c>
      <c r="C70" s="50">
        <f t="shared" si="2"/>
      </c>
      <c r="D70" s="50">
        <f t="shared" si="3"/>
      </c>
      <c r="E70" s="50">
        <f t="shared" si="4"/>
      </c>
      <c r="F70" s="50">
        <f t="shared" si="5"/>
        <v>0</v>
      </c>
      <c r="G70" s="21">
        <f t="shared" si="6"/>
      </c>
      <c r="H70" s="48">
        <f>IF(F69&lt;0.5,"",IF(OR(YEAR(A70)&lt;YEAR(A71),F70&lt;0.5),SUM($G$11:G70)-SUM($H$11:H69),""))</f>
      </c>
      <c r="I70" s="51">
        <f t="shared" si="7"/>
      </c>
      <c r="J70" s="51">
        <f t="shared" si="8"/>
      </c>
      <c r="K70" s="52">
        <f t="shared" si="9"/>
      </c>
      <c r="L70" s="48">
        <f t="shared" si="10"/>
      </c>
    </row>
    <row r="71" spans="1:12" ht="12.75">
      <c r="A71" s="6">
        <f t="shared" si="0"/>
        <v>42217</v>
      </c>
      <c r="B71" s="19">
        <f t="shared" si="1"/>
        <v>61</v>
      </c>
      <c r="C71" s="50">
        <f t="shared" si="2"/>
      </c>
      <c r="D71" s="50">
        <f t="shared" si="3"/>
      </c>
      <c r="E71" s="50">
        <f t="shared" si="4"/>
      </c>
      <c r="F71" s="50">
        <f t="shared" si="5"/>
        <v>0</v>
      </c>
      <c r="G71" s="21">
        <f t="shared" si="6"/>
      </c>
      <c r="H71" s="48">
        <f>IF(F70&lt;0.5,"",IF(OR(YEAR(A71)&lt;YEAR(A72),F71&lt;0.5),SUM($G$11:G71)-SUM($H$11:H70),""))</f>
      </c>
      <c r="I71" s="51">
        <f t="shared" si="7"/>
      </c>
      <c r="J71" s="51">
        <f t="shared" si="8"/>
      </c>
      <c r="K71" s="52">
        <f t="shared" si="9"/>
      </c>
      <c r="L71" s="48">
        <f t="shared" si="10"/>
      </c>
    </row>
    <row r="72" spans="1:12" ht="12.75">
      <c r="A72" s="6">
        <f t="shared" si="0"/>
        <v>42248</v>
      </c>
      <c r="B72" s="19">
        <f t="shared" si="1"/>
        <v>62</v>
      </c>
      <c r="C72" s="50">
        <f t="shared" si="2"/>
      </c>
      <c r="D72" s="50">
        <f t="shared" si="3"/>
      </c>
      <c r="E72" s="50">
        <f t="shared" si="4"/>
      </c>
      <c r="F72" s="50">
        <f t="shared" si="5"/>
        <v>0</v>
      </c>
      <c r="G72" s="21">
        <f t="shared" si="6"/>
      </c>
      <c r="H72" s="48">
        <f>IF(F71&lt;0.5,"",IF(OR(YEAR(A72)&lt;YEAR(A73),F72&lt;0.5),SUM($G$11:G72)-SUM($H$11:H71),""))</f>
      </c>
      <c r="I72" s="51">
        <f t="shared" si="7"/>
      </c>
      <c r="J72" s="51">
        <f t="shared" si="8"/>
      </c>
      <c r="K72" s="52">
        <f t="shared" si="9"/>
      </c>
      <c r="L72" s="48">
        <f t="shared" si="10"/>
      </c>
    </row>
    <row r="73" spans="1:12" ht="12.75">
      <c r="A73" s="6">
        <f t="shared" si="0"/>
        <v>42278</v>
      </c>
      <c r="B73" s="19">
        <f t="shared" si="1"/>
        <v>63</v>
      </c>
      <c r="C73" s="50">
        <f t="shared" si="2"/>
      </c>
      <c r="D73" s="50">
        <f t="shared" si="3"/>
      </c>
      <c r="E73" s="50">
        <f t="shared" si="4"/>
      </c>
      <c r="F73" s="50">
        <f t="shared" si="5"/>
        <v>0</v>
      </c>
      <c r="G73" s="21">
        <f t="shared" si="6"/>
      </c>
      <c r="H73" s="48">
        <f>IF(F72&lt;0.5,"",IF(OR(YEAR(A73)&lt;YEAR(A74),F73&lt;0.5),SUM($G$11:G73)-SUM($H$11:H72),""))</f>
      </c>
      <c r="I73" s="51">
        <f t="shared" si="7"/>
      </c>
      <c r="J73" s="51">
        <f t="shared" si="8"/>
      </c>
      <c r="K73" s="52">
        <f t="shared" si="9"/>
      </c>
      <c r="L73" s="48">
        <f t="shared" si="10"/>
      </c>
    </row>
    <row r="74" spans="1:12" ht="12.75">
      <c r="A74" s="6">
        <f t="shared" si="0"/>
        <v>42309</v>
      </c>
      <c r="B74" s="19">
        <f t="shared" si="1"/>
        <v>64</v>
      </c>
      <c r="C74" s="50">
        <f t="shared" si="2"/>
      </c>
      <c r="D74" s="50">
        <f t="shared" si="3"/>
      </c>
      <c r="E74" s="50">
        <f t="shared" si="4"/>
      </c>
      <c r="F74" s="50">
        <f t="shared" si="5"/>
        <v>0</v>
      </c>
      <c r="G74" s="21">
        <f t="shared" si="6"/>
      </c>
      <c r="H74" s="48">
        <f>IF(F73&lt;0.5,"",IF(OR(YEAR(A74)&lt;YEAR(A75),F74&lt;0.5),SUM($G$11:G74)-SUM($H$11:H73),""))</f>
      </c>
      <c r="I74" s="51">
        <f t="shared" si="7"/>
      </c>
      <c r="J74" s="51">
        <f t="shared" si="8"/>
      </c>
      <c r="K74" s="52">
        <f t="shared" si="9"/>
      </c>
      <c r="L74" s="48">
        <f t="shared" si="10"/>
      </c>
    </row>
    <row r="75" spans="1:12" ht="12.75">
      <c r="A75" s="6">
        <f t="shared" si="0"/>
        <v>42339</v>
      </c>
      <c r="B75" s="19">
        <f t="shared" si="1"/>
        <v>65</v>
      </c>
      <c r="C75" s="50">
        <f t="shared" si="2"/>
      </c>
      <c r="D75" s="50">
        <f t="shared" si="3"/>
      </c>
      <c r="E75" s="50">
        <f t="shared" si="4"/>
      </c>
      <c r="F75" s="50">
        <f t="shared" si="5"/>
        <v>0</v>
      </c>
      <c r="G75" s="21">
        <f t="shared" si="6"/>
      </c>
      <c r="H75" s="48">
        <f>IF(F74&lt;0.5,"",IF(OR(YEAR(A75)&lt;YEAR(A76),F75&lt;0.5),SUM($G$11:G75)-SUM($H$11:H74),""))</f>
      </c>
      <c r="I75" s="51">
        <f t="shared" si="7"/>
      </c>
      <c r="J75" s="51">
        <f t="shared" si="8"/>
      </c>
      <c r="K75" s="52">
        <f t="shared" si="9"/>
      </c>
      <c r="L75" s="48">
        <f t="shared" si="10"/>
      </c>
    </row>
    <row r="76" spans="1:12" ht="12.75">
      <c r="A76" s="6">
        <f aca="true" t="shared" si="11" ref="A76:A139">IF($C$6&lt;27,DATE((YEAR(A75)-1900),MONTH(A75)+1,$C$6),DATE((YEAR(A75)-1900),MONTH(A75)+2,1)-1)</f>
        <v>42370</v>
      </c>
      <c r="B76" s="19">
        <f aca="true" t="shared" si="12" ref="B76:B139">B75+1</f>
        <v>66</v>
      </c>
      <c r="C76" s="50">
        <f aca="true" t="shared" si="13" ref="C76:C139">IF(F75&gt;0.5,C75,"")</f>
      </c>
      <c r="D76" s="50">
        <f aca="true" t="shared" si="14" ref="D76:D139">IF(F75&gt;0.5,$I$3*F75,"")</f>
      </c>
      <c r="E76" s="50">
        <f aca="true" t="shared" si="15" ref="E76:E139">IF(F75&gt;0.5,C76-D76,"")</f>
      </c>
      <c r="F76" s="50">
        <f aca="true" t="shared" si="16" ref="F76:F139">IF(F75&gt;0.5,F75-E76,0)</f>
        <v>0</v>
      </c>
      <c r="G76" s="21">
        <f aca="true" t="shared" si="17" ref="G76:G139">IF(F75&gt;0.5,D76*$I$5,"")</f>
      </c>
      <c r="H76" s="48">
        <f>IF(F75&lt;0.5,"",IF(OR(YEAR(A76)&lt;YEAR(A77),F76&lt;0.5),SUM($G$11:G76)-SUM($H$11:H75),""))</f>
      </c>
      <c r="I76" s="51">
        <f aca="true" t="shared" si="18" ref="I76:I139">IF(F75&gt;0.5,I75+D76,"")</f>
      </c>
      <c r="J76" s="51">
        <f aca="true" t="shared" si="19" ref="J76:J139">IF(F75&gt;0.5,J75+E76,"")</f>
      </c>
      <c r="K76" s="52">
        <f aca="true" t="shared" si="20" ref="K76:K139">IF(F75&gt;0.5,C76/(1+$I$4)^B76+K75,"")</f>
      </c>
      <c r="L76" s="48">
        <f aca="true" t="shared" si="21" ref="L76:L139">IF(F75&lt;0.5,"",IF(H76="",L75,H76/(1+$I$4)^B76+L75))</f>
      </c>
    </row>
    <row r="77" spans="1:12" ht="12.75">
      <c r="A77" s="6">
        <f t="shared" si="11"/>
        <v>42401</v>
      </c>
      <c r="B77" s="19">
        <f t="shared" si="12"/>
        <v>67</v>
      </c>
      <c r="C77" s="50">
        <f t="shared" si="13"/>
      </c>
      <c r="D77" s="50">
        <f t="shared" si="14"/>
      </c>
      <c r="E77" s="50">
        <f t="shared" si="15"/>
      </c>
      <c r="F77" s="50">
        <f t="shared" si="16"/>
        <v>0</v>
      </c>
      <c r="G77" s="21">
        <f t="shared" si="17"/>
      </c>
      <c r="H77" s="48">
        <f>IF(F76&lt;0.5,"",IF(OR(YEAR(A77)&lt;YEAR(A78),F77&lt;0.5),SUM($G$11:G77)-SUM($H$11:H76),""))</f>
      </c>
      <c r="I77" s="51">
        <f t="shared" si="18"/>
      </c>
      <c r="J77" s="51">
        <f t="shared" si="19"/>
      </c>
      <c r="K77" s="52">
        <f t="shared" si="20"/>
      </c>
      <c r="L77" s="48">
        <f t="shared" si="21"/>
      </c>
    </row>
    <row r="78" spans="1:12" ht="12.75">
      <c r="A78" s="6">
        <f t="shared" si="11"/>
        <v>42430</v>
      </c>
      <c r="B78" s="19">
        <f t="shared" si="12"/>
        <v>68</v>
      </c>
      <c r="C78" s="50">
        <f t="shared" si="13"/>
      </c>
      <c r="D78" s="50">
        <f t="shared" si="14"/>
      </c>
      <c r="E78" s="50">
        <f t="shared" si="15"/>
      </c>
      <c r="F78" s="50">
        <f t="shared" si="16"/>
        <v>0</v>
      </c>
      <c r="G78" s="21">
        <f t="shared" si="17"/>
      </c>
      <c r="H78" s="48">
        <f>IF(F77&lt;0.5,"",IF(OR(YEAR(A78)&lt;YEAR(A79),F78&lt;0.5),SUM($G$11:G78)-SUM($H$11:H77),""))</f>
      </c>
      <c r="I78" s="51">
        <f t="shared" si="18"/>
      </c>
      <c r="J78" s="51">
        <f t="shared" si="19"/>
      </c>
      <c r="K78" s="52">
        <f t="shared" si="20"/>
      </c>
      <c r="L78" s="48">
        <f t="shared" si="21"/>
      </c>
    </row>
    <row r="79" spans="1:12" ht="12.75">
      <c r="A79" s="6">
        <f t="shared" si="11"/>
        <v>42461</v>
      </c>
      <c r="B79" s="19">
        <f t="shared" si="12"/>
        <v>69</v>
      </c>
      <c r="C79" s="50">
        <f t="shared" si="13"/>
      </c>
      <c r="D79" s="50">
        <f t="shared" si="14"/>
      </c>
      <c r="E79" s="50">
        <f t="shared" si="15"/>
      </c>
      <c r="F79" s="50">
        <f t="shared" si="16"/>
        <v>0</v>
      </c>
      <c r="G79" s="21">
        <f t="shared" si="17"/>
      </c>
      <c r="H79" s="48">
        <f>IF(F78&lt;0.5,"",IF(OR(YEAR(A79)&lt;YEAR(A80),F79&lt;0.5),SUM($G$11:G79)-SUM($H$11:H78),""))</f>
      </c>
      <c r="I79" s="51">
        <f t="shared" si="18"/>
      </c>
      <c r="J79" s="51">
        <f t="shared" si="19"/>
      </c>
      <c r="K79" s="52">
        <f t="shared" si="20"/>
      </c>
      <c r="L79" s="48">
        <f t="shared" si="21"/>
      </c>
    </row>
    <row r="80" spans="1:12" ht="12.75">
      <c r="A80" s="6">
        <f t="shared" si="11"/>
        <v>42491</v>
      </c>
      <c r="B80" s="19">
        <f t="shared" si="12"/>
        <v>70</v>
      </c>
      <c r="C80" s="50">
        <f t="shared" si="13"/>
      </c>
      <c r="D80" s="50">
        <f t="shared" si="14"/>
      </c>
      <c r="E80" s="50">
        <f t="shared" si="15"/>
      </c>
      <c r="F80" s="50">
        <f t="shared" si="16"/>
        <v>0</v>
      </c>
      <c r="G80" s="21">
        <f t="shared" si="17"/>
      </c>
      <c r="H80" s="48">
        <f>IF(F79&lt;0.5,"",IF(OR(YEAR(A80)&lt;YEAR(A81),F80&lt;0.5),SUM($G$11:G80)-SUM($H$11:H79),""))</f>
      </c>
      <c r="I80" s="51">
        <f t="shared" si="18"/>
      </c>
      <c r="J80" s="51">
        <f t="shared" si="19"/>
      </c>
      <c r="K80" s="52">
        <f t="shared" si="20"/>
      </c>
      <c r="L80" s="48">
        <f t="shared" si="21"/>
      </c>
    </row>
    <row r="81" spans="1:12" ht="12.75">
      <c r="A81" s="6">
        <f t="shared" si="11"/>
        <v>42522</v>
      </c>
      <c r="B81" s="19">
        <f t="shared" si="12"/>
        <v>71</v>
      </c>
      <c r="C81" s="50">
        <f t="shared" si="13"/>
      </c>
      <c r="D81" s="50">
        <f t="shared" si="14"/>
      </c>
      <c r="E81" s="50">
        <f t="shared" si="15"/>
      </c>
      <c r="F81" s="50">
        <f t="shared" si="16"/>
        <v>0</v>
      </c>
      <c r="G81" s="21">
        <f t="shared" si="17"/>
      </c>
      <c r="H81" s="48">
        <f>IF(F80&lt;0.5,"",IF(OR(YEAR(A81)&lt;YEAR(A82),F81&lt;0.5),SUM($G$11:G81)-SUM($H$11:H80),""))</f>
      </c>
      <c r="I81" s="51">
        <f t="shared" si="18"/>
      </c>
      <c r="J81" s="51">
        <f t="shared" si="19"/>
      </c>
      <c r="K81" s="52">
        <f t="shared" si="20"/>
      </c>
      <c r="L81" s="48">
        <f t="shared" si="21"/>
      </c>
    </row>
    <row r="82" spans="1:12" ht="12.75">
      <c r="A82" s="6">
        <f t="shared" si="11"/>
        <v>42552</v>
      </c>
      <c r="B82" s="19">
        <f t="shared" si="12"/>
        <v>72</v>
      </c>
      <c r="C82" s="50">
        <f t="shared" si="13"/>
      </c>
      <c r="D82" s="50">
        <f t="shared" si="14"/>
      </c>
      <c r="E82" s="50">
        <f t="shared" si="15"/>
      </c>
      <c r="F82" s="50">
        <f t="shared" si="16"/>
        <v>0</v>
      </c>
      <c r="G82" s="21">
        <f t="shared" si="17"/>
      </c>
      <c r="H82" s="48">
        <f>IF(F81&lt;0.5,"",IF(OR(YEAR(A82)&lt;YEAR(A83),F82&lt;0.5),SUM($G$11:G82)-SUM($H$11:H81),""))</f>
      </c>
      <c r="I82" s="51">
        <f t="shared" si="18"/>
      </c>
      <c r="J82" s="51">
        <f t="shared" si="19"/>
      </c>
      <c r="K82" s="52">
        <f t="shared" si="20"/>
      </c>
      <c r="L82" s="48">
        <f t="shared" si="21"/>
      </c>
    </row>
    <row r="83" spans="1:12" ht="12.75">
      <c r="A83" s="6">
        <f t="shared" si="11"/>
        <v>42583</v>
      </c>
      <c r="B83" s="19">
        <f t="shared" si="12"/>
        <v>73</v>
      </c>
      <c r="C83" s="50">
        <f t="shared" si="13"/>
      </c>
      <c r="D83" s="50">
        <f t="shared" si="14"/>
      </c>
      <c r="E83" s="50">
        <f t="shared" si="15"/>
      </c>
      <c r="F83" s="50">
        <f t="shared" si="16"/>
        <v>0</v>
      </c>
      <c r="G83" s="21">
        <f t="shared" si="17"/>
      </c>
      <c r="H83" s="48">
        <f>IF(F82&lt;0.5,"",IF(OR(YEAR(A83)&lt;YEAR(A84),F83&lt;0.5),SUM($G$11:G83)-SUM($H$11:H82),""))</f>
      </c>
      <c r="I83" s="51">
        <f t="shared" si="18"/>
      </c>
      <c r="J83" s="51">
        <f t="shared" si="19"/>
      </c>
      <c r="K83" s="52">
        <f t="shared" si="20"/>
      </c>
      <c r="L83" s="48">
        <f t="shared" si="21"/>
      </c>
    </row>
    <row r="84" spans="1:12" ht="12.75">
      <c r="A84" s="6">
        <f t="shared" si="11"/>
        <v>42614</v>
      </c>
      <c r="B84" s="19">
        <f t="shared" si="12"/>
        <v>74</v>
      </c>
      <c r="C84" s="50">
        <f t="shared" si="13"/>
      </c>
      <c r="D84" s="50">
        <f t="shared" si="14"/>
      </c>
      <c r="E84" s="50">
        <f t="shared" si="15"/>
      </c>
      <c r="F84" s="50">
        <f t="shared" si="16"/>
        <v>0</v>
      </c>
      <c r="G84" s="21">
        <f t="shared" si="17"/>
      </c>
      <c r="H84" s="48">
        <f>IF(F83&lt;0.5,"",IF(OR(YEAR(A84)&lt;YEAR(A85),F84&lt;0.5),SUM($G$11:G84)-SUM($H$11:H83),""))</f>
      </c>
      <c r="I84" s="51">
        <f t="shared" si="18"/>
      </c>
      <c r="J84" s="51">
        <f t="shared" si="19"/>
      </c>
      <c r="K84" s="52">
        <f t="shared" si="20"/>
      </c>
      <c r="L84" s="48">
        <f t="shared" si="21"/>
      </c>
    </row>
    <row r="85" spans="1:12" ht="12.75">
      <c r="A85" s="6">
        <f t="shared" si="11"/>
        <v>42644</v>
      </c>
      <c r="B85" s="19">
        <f t="shared" si="12"/>
        <v>75</v>
      </c>
      <c r="C85" s="50">
        <f t="shared" si="13"/>
      </c>
      <c r="D85" s="50">
        <f t="shared" si="14"/>
      </c>
      <c r="E85" s="50">
        <f t="shared" si="15"/>
      </c>
      <c r="F85" s="50">
        <f t="shared" si="16"/>
        <v>0</v>
      </c>
      <c r="G85" s="21">
        <f t="shared" si="17"/>
      </c>
      <c r="H85" s="48">
        <f>IF(F84&lt;0.5,"",IF(OR(YEAR(A85)&lt;YEAR(A86),F85&lt;0.5),SUM($G$11:G85)-SUM($H$11:H84),""))</f>
      </c>
      <c r="I85" s="51">
        <f t="shared" si="18"/>
      </c>
      <c r="J85" s="51">
        <f t="shared" si="19"/>
      </c>
      <c r="K85" s="52">
        <f t="shared" si="20"/>
      </c>
      <c r="L85" s="48">
        <f t="shared" si="21"/>
      </c>
    </row>
    <row r="86" spans="1:12" ht="12.75">
      <c r="A86" s="6">
        <f t="shared" si="11"/>
        <v>42675</v>
      </c>
      <c r="B86" s="19">
        <f t="shared" si="12"/>
        <v>76</v>
      </c>
      <c r="C86" s="50">
        <f t="shared" si="13"/>
      </c>
      <c r="D86" s="50">
        <f t="shared" si="14"/>
      </c>
      <c r="E86" s="50">
        <f t="shared" si="15"/>
      </c>
      <c r="F86" s="50">
        <f t="shared" si="16"/>
        <v>0</v>
      </c>
      <c r="G86" s="21">
        <f t="shared" si="17"/>
      </c>
      <c r="H86" s="48">
        <f>IF(F85&lt;0.5,"",IF(OR(YEAR(A86)&lt;YEAR(A87),F86&lt;0.5),SUM($G$11:G86)-SUM($H$11:H85),""))</f>
      </c>
      <c r="I86" s="51">
        <f t="shared" si="18"/>
      </c>
      <c r="J86" s="51">
        <f t="shared" si="19"/>
      </c>
      <c r="K86" s="52">
        <f t="shared" si="20"/>
      </c>
      <c r="L86" s="48">
        <f t="shared" si="21"/>
      </c>
    </row>
    <row r="87" spans="1:12" ht="12.75">
      <c r="A87" s="6">
        <f t="shared" si="11"/>
        <v>42705</v>
      </c>
      <c r="B87" s="19">
        <f t="shared" si="12"/>
        <v>77</v>
      </c>
      <c r="C87" s="50">
        <f t="shared" si="13"/>
      </c>
      <c r="D87" s="50">
        <f t="shared" si="14"/>
      </c>
      <c r="E87" s="50">
        <f t="shared" si="15"/>
      </c>
      <c r="F87" s="50">
        <f t="shared" si="16"/>
        <v>0</v>
      </c>
      <c r="G87" s="21">
        <f t="shared" si="17"/>
      </c>
      <c r="H87" s="48">
        <f>IF(F86&lt;0.5,"",IF(OR(YEAR(A87)&lt;YEAR(A88),F87&lt;0.5),SUM($G$11:G87)-SUM($H$11:H86),""))</f>
      </c>
      <c r="I87" s="51">
        <f t="shared" si="18"/>
      </c>
      <c r="J87" s="51">
        <f t="shared" si="19"/>
      </c>
      <c r="K87" s="52">
        <f t="shared" si="20"/>
      </c>
      <c r="L87" s="48">
        <f t="shared" si="21"/>
      </c>
    </row>
    <row r="88" spans="1:12" ht="12.75">
      <c r="A88" s="6">
        <f t="shared" si="11"/>
        <v>42736</v>
      </c>
      <c r="B88" s="19">
        <f t="shared" si="12"/>
        <v>78</v>
      </c>
      <c r="C88" s="50">
        <f t="shared" si="13"/>
      </c>
      <c r="D88" s="50">
        <f t="shared" si="14"/>
      </c>
      <c r="E88" s="50">
        <f t="shared" si="15"/>
      </c>
      <c r="F88" s="50">
        <f t="shared" si="16"/>
        <v>0</v>
      </c>
      <c r="G88" s="21">
        <f t="shared" si="17"/>
      </c>
      <c r="H88" s="48">
        <f>IF(F87&lt;0.5,"",IF(OR(YEAR(A88)&lt;YEAR(A89),F88&lt;0.5),SUM($G$11:G88)-SUM($H$11:H87),""))</f>
      </c>
      <c r="I88" s="51">
        <f t="shared" si="18"/>
      </c>
      <c r="J88" s="51">
        <f t="shared" si="19"/>
      </c>
      <c r="K88" s="52">
        <f t="shared" si="20"/>
      </c>
      <c r="L88" s="48">
        <f t="shared" si="21"/>
      </c>
    </row>
    <row r="89" spans="1:12" ht="12.75">
      <c r="A89" s="6">
        <f t="shared" si="11"/>
        <v>42767</v>
      </c>
      <c r="B89" s="19">
        <f t="shared" si="12"/>
        <v>79</v>
      </c>
      <c r="C89" s="50">
        <f t="shared" si="13"/>
      </c>
      <c r="D89" s="50">
        <f t="shared" si="14"/>
      </c>
      <c r="E89" s="50">
        <f t="shared" si="15"/>
      </c>
      <c r="F89" s="50">
        <f t="shared" si="16"/>
        <v>0</v>
      </c>
      <c r="G89" s="21">
        <f t="shared" si="17"/>
      </c>
      <c r="H89" s="48">
        <f>IF(F88&lt;0.5,"",IF(OR(YEAR(A89)&lt;YEAR(A90),F89&lt;0.5),SUM($G$11:G89)-SUM($H$11:H88),""))</f>
      </c>
      <c r="I89" s="51">
        <f t="shared" si="18"/>
      </c>
      <c r="J89" s="51">
        <f t="shared" si="19"/>
      </c>
      <c r="K89" s="52">
        <f t="shared" si="20"/>
      </c>
      <c r="L89" s="48">
        <f t="shared" si="21"/>
      </c>
    </row>
    <row r="90" spans="1:12" ht="12.75">
      <c r="A90" s="6">
        <f t="shared" si="11"/>
        <v>42795</v>
      </c>
      <c r="B90" s="19">
        <f t="shared" si="12"/>
        <v>80</v>
      </c>
      <c r="C90" s="50">
        <f t="shared" si="13"/>
      </c>
      <c r="D90" s="50">
        <f t="shared" si="14"/>
      </c>
      <c r="E90" s="50">
        <f t="shared" si="15"/>
      </c>
      <c r="F90" s="50">
        <f t="shared" si="16"/>
        <v>0</v>
      </c>
      <c r="G90" s="21">
        <f t="shared" si="17"/>
      </c>
      <c r="H90" s="48">
        <f>IF(F89&lt;0.5,"",IF(OR(YEAR(A90)&lt;YEAR(A91),F90&lt;0.5),SUM($G$11:G90)-SUM($H$11:H89),""))</f>
      </c>
      <c r="I90" s="51">
        <f t="shared" si="18"/>
      </c>
      <c r="J90" s="51">
        <f t="shared" si="19"/>
      </c>
      <c r="K90" s="52">
        <f t="shared" si="20"/>
      </c>
      <c r="L90" s="48">
        <f t="shared" si="21"/>
      </c>
    </row>
    <row r="91" spans="1:12" ht="12.75">
      <c r="A91" s="6">
        <f t="shared" si="11"/>
        <v>42826</v>
      </c>
      <c r="B91" s="19">
        <f t="shared" si="12"/>
        <v>81</v>
      </c>
      <c r="C91" s="50">
        <f t="shared" si="13"/>
      </c>
      <c r="D91" s="50">
        <f t="shared" si="14"/>
      </c>
      <c r="E91" s="50">
        <f t="shared" si="15"/>
      </c>
      <c r="F91" s="50">
        <f t="shared" si="16"/>
        <v>0</v>
      </c>
      <c r="G91" s="21">
        <f t="shared" si="17"/>
      </c>
      <c r="H91" s="48">
        <f>IF(F90&lt;0.5,"",IF(OR(YEAR(A91)&lt;YEAR(A92),F91&lt;0.5),SUM($G$11:G91)-SUM($H$11:H90),""))</f>
      </c>
      <c r="I91" s="51">
        <f t="shared" si="18"/>
      </c>
      <c r="J91" s="51">
        <f t="shared" si="19"/>
      </c>
      <c r="K91" s="52">
        <f t="shared" si="20"/>
      </c>
      <c r="L91" s="48">
        <f t="shared" si="21"/>
      </c>
    </row>
    <row r="92" spans="1:12" ht="12.75">
      <c r="A92" s="6">
        <f t="shared" si="11"/>
        <v>42856</v>
      </c>
      <c r="B92" s="19">
        <f t="shared" si="12"/>
        <v>82</v>
      </c>
      <c r="C92" s="50">
        <f t="shared" si="13"/>
      </c>
      <c r="D92" s="50">
        <f t="shared" si="14"/>
      </c>
      <c r="E92" s="50">
        <f t="shared" si="15"/>
      </c>
      <c r="F92" s="50">
        <f t="shared" si="16"/>
        <v>0</v>
      </c>
      <c r="G92" s="21">
        <f t="shared" si="17"/>
      </c>
      <c r="H92" s="48">
        <f>IF(F91&lt;0.5,"",IF(OR(YEAR(A92)&lt;YEAR(A93),F92&lt;0.5),SUM($G$11:G92)-SUM($H$11:H91),""))</f>
      </c>
      <c r="I92" s="51">
        <f t="shared" si="18"/>
      </c>
      <c r="J92" s="51">
        <f t="shared" si="19"/>
      </c>
      <c r="K92" s="52">
        <f t="shared" si="20"/>
      </c>
      <c r="L92" s="48">
        <f t="shared" si="21"/>
      </c>
    </row>
    <row r="93" spans="1:12" ht="12.75">
      <c r="A93" s="6">
        <f t="shared" si="11"/>
        <v>42887</v>
      </c>
      <c r="B93" s="19">
        <f t="shared" si="12"/>
        <v>83</v>
      </c>
      <c r="C93" s="50">
        <f t="shared" si="13"/>
      </c>
      <c r="D93" s="50">
        <f t="shared" si="14"/>
      </c>
      <c r="E93" s="50">
        <f t="shared" si="15"/>
      </c>
      <c r="F93" s="50">
        <f t="shared" si="16"/>
        <v>0</v>
      </c>
      <c r="G93" s="21">
        <f t="shared" si="17"/>
      </c>
      <c r="H93" s="48">
        <f>IF(F92&lt;0.5,"",IF(OR(YEAR(A93)&lt;YEAR(A94),F93&lt;0.5),SUM($G$11:G93)-SUM($H$11:H92),""))</f>
      </c>
      <c r="I93" s="51">
        <f t="shared" si="18"/>
      </c>
      <c r="J93" s="51">
        <f t="shared" si="19"/>
      </c>
      <c r="K93" s="52">
        <f t="shared" si="20"/>
      </c>
      <c r="L93" s="48">
        <f t="shared" si="21"/>
      </c>
    </row>
    <row r="94" spans="1:12" ht="12.75">
      <c r="A94" s="6">
        <f t="shared" si="11"/>
        <v>42917</v>
      </c>
      <c r="B94" s="19">
        <f t="shared" si="12"/>
        <v>84</v>
      </c>
      <c r="C94" s="50">
        <f t="shared" si="13"/>
      </c>
      <c r="D94" s="50">
        <f t="shared" si="14"/>
      </c>
      <c r="E94" s="50">
        <f t="shared" si="15"/>
      </c>
      <c r="F94" s="50">
        <f t="shared" si="16"/>
        <v>0</v>
      </c>
      <c r="G94" s="21">
        <f t="shared" si="17"/>
      </c>
      <c r="H94" s="48">
        <f>IF(F93&lt;0.5,"",IF(OR(YEAR(A94)&lt;YEAR(A95),F94&lt;0.5),SUM($G$11:G94)-SUM($H$11:H93),""))</f>
      </c>
      <c r="I94" s="51">
        <f t="shared" si="18"/>
      </c>
      <c r="J94" s="51">
        <f t="shared" si="19"/>
      </c>
      <c r="K94" s="52">
        <f t="shared" si="20"/>
      </c>
      <c r="L94" s="48">
        <f t="shared" si="21"/>
      </c>
    </row>
    <row r="95" spans="1:12" ht="12.75">
      <c r="A95" s="6">
        <f t="shared" si="11"/>
        <v>42948</v>
      </c>
      <c r="B95" s="19">
        <f t="shared" si="12"/>
        <v>85</v>
      </c>
      <c r="C95" s="50">
        <f t="shared" si="13"/>
      </c>
      <c r="D95" s="50">
        <f t="shared" si="14"/>
      </c>
      <c r="E95" s="50">
        <f t="shared" si="15"/>
      </c>
      <c r="F95" s="50">
        <f t="shared" si="16"/>
        <v>0</v>
      </c>
      <c r="G95" s="21">
        <f t="shared" si="17"/>
      </c>
      <c r="H95" s="48">
        <f>IF(F94&lt;0.5,"",IF(OR(YEAR(A95)&lt;YEAR(A96),F95&lt;0.5),SUM($G$11:G95)-SUM($H$11:H94),""))</f>
      </c>
      <c r="I95" s="51">
        <f t="shared" si="18"/>
      </c>
      <c r="J95" s="51">
        <f t="shared" si="19"/>
      </c>
      <c r="K95" s="52">
        <f t="shared" si="20"/>
      </c>
      <c r="L95" s="48">
        <f t="shared" si="21"/>
      </c>
    </row>
    <row r="96" spans="1:12" ht="12.75">
      <c r="A96" s="6">
        <f t="shared" si="11"/>
        <v>42979</v>
      </c>
      <c r="B96" s="19">
        <f t="shared" si="12"/>
        <v>86</v>
      </c>
      <c r="C96" s="50">
        <f t="shared" si="13"/>
      </c>
      <c r="D96" s="50">
        <f t="shared" si="14"/>
      </c>
      <c r="E96" s="50">
        <f t="shared" si="15"/>
      </c>
      <c r="F96" s="50">
        <f t="shared" si="16"/>
        <v>0</v>
      </c>
      <c r="G96" s="21">
        <f t="shared" si="17"/>
      </c>
      <c r="H96" s="48">
        <f>IF(F95&lt;0.5,"",IF(OR(YEAR(A96)&lt;YEAR(A97),F96&lt;0.5),SUM($G$11:G96)-SUM($H$11:H95),""))</f>
      </c>
      <c r="I96" s="51">
        <f t="shared" si="18"/>
      </c>
      <c r="J96" s="51">
        <f t="shared" si="19"/>
      </c>
      <c r="K96" s="52">
        <f t="shared" si="20"/>
      </c>
      <c r="L96" s="48">
        <f t="shared" si="21"/>
      </c>
    </row>
    <row r="97" spans="1:12" ht="12.75">
      <c r="A97" s="6">
        <f t="shared" si="11"/>
        <v>43009</v>
      </c>
      <c r="B97" s="19">
        <f t="shared" si="12"/>
        <v>87</v>
      </c>
      <c r="C97" s="50">
        <f t="shared" si="13"/>
      </c>
      <c r="D97" s="50">
        <f t="shared" si="14"/>
      </c>
      <c r="E97" s="50">
        <f t="shared" si="15"/>
      </c>
      <c r="F97" s="50">
        <f t="shared" si="16"/>
        <v>0</v>
      </c>
      <c r="G97" s="21">
        <f t="shared" si="17"/>
      </c>
      <c r="H97" s="48">
        <f>IF(F96&lt;0.5,"",IF(OR(YEAR(A97)&lt;YEAR(A98),F97&lt;0.5),SUM($G$11:G97)-SUM($H$11:H96),""))</f>
      </c>
      <c r="I97" s="51">
        <f t="shared" si="18"/>
      </c>
      <c r="J97" s="51">
        <f t="shared" si="19"/>
      </c>
      <c r="K97" s="52">
        <f t="shared" si="20"/>
      </c>
      <c r="L97" s="48">
        <f t="shared" si="21"/>
      </c>
    </row>
    <row r="98" spans="1:12" ht="12.75">
      <c r="A98" s="6">
        <f t="shared" si="11"/>
        <v>43040</v>
      </c>
      <c r="B98" s="19">
        <f t="shared" si="12"/>
        <v>88</v>
      </c>
      <c r="C98" s="50">
        <f t="shared" si="13"/>
      </c>
      <c r="D98" s="50">
        <f t="shared" si="14"/>
      </c>
      <c r="E98" s="50">
        <f t="shared" si="15"/>
      </c>
      <c r="F98" s="50">
        <f t="shared" si="16"/>
        <v>0</v>
      </c>
      <c r="G98" s="21">
        <f t="shared" si="17"/>
      </c>
      <c r="H98" s="48">
        <f>IF(F97&lt;0.5,"",IF(OR(YEAR(A98)&lt;YEAR(A99),F98&lt;0.5),SUM($G$11:G98)-SUM($H$11:H97),""))</f>
      </c>
      <c r="I98" s="51">
        <f t="shared" si="18"/>
      </c>
      <c r="J98" s="51">
        <f t="shared" si="19"/>
      </c>
      <c r="K98" s="52">
        <f t="shared" si="20"/>
      </c>
      <c r="L98" s="48">
        <f t="shared" si="21"/>
      </c>
    </row>
    <row r="99" spans="1:12" ht="12.75">
      <c r="A99" s="6">
        <f t="shared" si="11"/>
        <v>43070</v>
      </c>
      <c r="B99" s="19">
        <f t="shared" si="12"/>
        <v>89</v>
      </c>
      <c r="C99" s="50">
        <f t="shared" si="13"/>
      </c>
      <c r="D99" s="50">
        <f t="shared" si="14"/>
      </c>
      <c r="E99" s="50">
        <f t="shared" si="15"/>
      </c>
      <c r="F99" s="50">
        <f t="shared" si="16"/>
        <v>0</v>
      </c>
      <c r="G99" s="21">
        <f t="shared" si="17"/>
      </c>
      <c r="H99" s="48">
        <f>IF(F98&lt;0.5,"",IF(OR(YEAR(A99)&lt;YEAR(A100),F99&lt;0.5),SUM($G$11:G99)-SUM($H$11:H98),""))</f>
      </c>
      <c r="I99" s="51">
        <f t="shared" si="18"/>
      </c>
      <c r="J99" s="51">
        <f t="shared" si="19"/>
      </c>
      <c r="K99" s="52">
        <f t="shared" si="20"/>
      </c>
      <c r="L99" s="48">
        <f t="shared" si="21"/>
      </c>
    </row>
    <row r="100" spans="1:12" ht="12.75">
      <c r="A100" s="6">
        <f t="shared" si="11"/>
        <v>43101</v>
      </c>
      <c r="B100" s="19">
        <f t="shared" si="12"/>
        <v>90</v>
      </c>
      <c r="C100" s="50">
        <f t="shared" si="13"/>
      </c>
      <c r="D100" s="50">
        <f t="shared" si="14"/>
      </c>
      <c r="E100" s="50">
        <f t="shared" si="15"/>
      </c>
      <c r="F100" s="50">
        <f t="shared" si="16"/>
        <v>0</v>
      </c>
      <c r="G100" s="21">
        <f t="shared" si="17"/>
      </c>
      <c r="H100" s="48">
        <f>IF(F99&lt;0.5,"",IF(OR(YEAR(A100)&lt;YEAR(A101),F100&lt;0.5),SUM($G$11:G100)-SUM($H$11:H99),""))</f>
      </c>
      <c r="I100" s="51">
        <f t="shared" si="18"/>
      </c>
      <c r="J100" s="51">
        <f t="shared" si="19"/>
      </c>
      <c r="K100" s="52">
        <f t="shared" si="20"/>
      </c>
      <c r="L100" s="48">
        <f t="shared" si="21"/>
      </c>
    </row>
    <row r="101" spans="1:12" ht="12.75">
      <c r="A101" s="6">
        <f t="shared" si="11"/>
        <v>43132</v>
      </c>
      <c r="B101" s="19">
        <f t="shared" si="12"/>
        <v>91</v>
      </c>
      <c r="C101" s="50">
        <f t="shared" si="13"/>
      </c>
      <c r="D101" s="50">
        <f t="shared" si="14"/>
      </c>
      <c r="E101" s="50">
        <f t="shared" si="15"/>
      </c>
      <c r="F101" s="50">
        <f t="shared" si="16"/>
        <v>0</v>
      </c>
      <c r="G101" s="21">
        <f t="shared" si="17"/>
      </c>
      <c r="H101" s="48">
        <f>IF(F100&lt;0.5,"",IF(OR(YEAR(A101)&lt;YEAR(A102),F101&lt;0.5),SUM($G$11:G101)-SUM($H$11:H100),""))</f>
      </c>
      <c r="I101" s="51">
        <f t="shared" si="18"/>
      </c>
      <c r="J101" s="51">
        <f t="shared" si="19"/>
      </c>
      <c r="K101" s="52">
        <f t="shared" si="20"/>
      </c>
      <c r="L101" s="48">
        <f t="shared" si="21"/>
      </c>
    </row>
    <row r="102" spans="1:12" ht="12.75">
      <c r="A102" s="6">
        <f t="shared" si="11"/>
        <v>43160</v>
      </c>
      <c r="B102" s="19">
        <f t="shared" si="12"/>
        <v>92</v>
      </c>
      <c r="C102" s="50">
        <f t="shared" si="13"/>
      </c>
      <c r="D102" s="50">
        <f t="shared" si="14"/>
      </c>
      <c r="E102" s="50">
        <f t="shared" si="15"/>
      </c>
      <c r="F102" s="50">
        <f t="shared" si="16"/>
        <v>0</v>
      </c>
      <c r="G102" s="21">
        <f t="shared" si="17"/>
      </c>
      <c r="H102" s="48">
        <f>IF(F101&lt;0.5,"",IF(OR(YEAR(A102)&lt;YEAR(A103),F102&lt;0.5),SUM($G$11:G102)-SUM($H$11:H101),""))</f>
      </c>
      <c r="I102" s="51">
        <f t="shared" si="18"/>
      </c>
      <c r="J102" s="51">
        <f t="shared" si="19"/>
      </c>
      <c r="K102" s="52">
        <f t="shared" si="20"/>
      </c>
      <c r="L102" s="48">
        <f t="shared" si="21"/>
      </c>
    </row>
    <row r="103" spans="1:12" ht="12.75">
      <c r="A103" s="6">
        <f t="shared" si="11"/>
        <v>43191</v>
      </c>
      <c r="B103" s="19">
        <f t="shared" si="12"/>
        <v>93</v>
      </c>
      <c r="C103" s="50">
        <f t="shared" si="13"/>
      </c>
      <c r="D103" s="50">
        <f t="shared" si="14"/>
      </c>
      <c r="E103" s="50">
        <f t="shared" si="15"/>
      </c>
      <c r="F103" s="50">
        <f t="shared" si="16"/>
        <v>0</v>
      </c>
      <c r="G103" s="21">
        <f t="shared" si="17"/>
      </c>
      <c r="H103" s="48">
        <f>IF(F102&lt;0.5,"",IF(OR(YEAR(A103)&lt;YEAR(A104),F103&lt;0.5),SUM($G$11:G103)-SUM($H$11:H102),""))</f>
      </c>
      <c r="I103" s="51">
        <f t="shared" si="18"/>
      </c>
      <c r="J103" s="51">
        <f t="shared" si="19"/>
      </c>
      <c r="K103" s="52">
        <f t="shared" si="20"/>
      </c>
      <c r="L103" s="48">
        <f t="shared" si="21"/>
      </c>
    </row>
    <row r="104" spans="1:12" ht="12.75">
      <c r="A104" s="6">
        <f t="shared" si="11"/>
        <v>43221</v>
      </c>
      <c r="B104" s="19">
        <f t="shared" si="12"/>
        <v>94</v>
      </c>
      <c r="C104" s="50">
        <f t="shared" si="13"/>
      </c>
      <c r="D104" s="50">
        <f t="shared" si="14"/>
      </c>
      <c r="E104" s="50">
        <f t="shared" si="15"/>
      </c>
      <c r="F104" s="50">
        <f t="shared" si="16"/>
        <v>0</v>
      </c>
      <c r="G104" s="21">
        <f t="shared" si="17"/>
      </c>
      <c r="H104" s="48">
        <f>IF(F103&lt;0.5,"",IF(OR(YEAR(A104)&lt;YEAR(A105),F104&lt;0.5),SUM($G$11:G104)-SUM($H$11:H103),""))</f>
      </c>
      <c r="I104" s="51">
        <f t="shared" si="18"/>
      </c>
      <c r="J104" s="51">
        <f t="shared" si="19"/>
      </c>
      <c r="K104" s="52">
        <f t="shared" si="20"/>
      </c>
      <c r="L104" s="48">
        <f t="shared" si="21"/>
      </c>
    </row>
    <row r="105" spans="1:12" ht="12.75">
      <c r="A105" s="6">
        <f t="shared" si="11"/>
        <v>43252</v>
      </c>
      <c r="B105" s="19">
        <f t="shared" si="12"/>
        <v>95</v>
      </c>
      <c r="C105" s="50">
        <f t="shared" si="13"/>
      </c>
      <c r="D105" s="50">
        <f t="shared" si="14"/>
      </c>
      <c r="E105" s="50">
        <f t="shared" si="15"/>
      </c>
      <c r="F105" s="50">
        <f t="shared" si="16"/>
        <v>0</v>
      </c>
      <c r="G105" s="21">
        <f t="shared" si="17"/>
      </c>
      <c r="H105" s="48">
        <f>IF(F104&lt;0.5,"",IF(OR(YEAR(A105)&lt;YEAR(A106),F105&lt;0.5),SUM($G$11:G105)-SUM($H$11:H104),""))</f>
      </c>
      <c r="I105" s="51">
        <f t="shared" si="18"/>
      </c>
      <c r="J105" s="51">
        <f t="shared" si="19"/>
      </c>
      <c r="K105" s="52">
        <f t="shared" si="20"/>
      </c>
      <c r="L105" s="48">
        <f t="shared" si="21"/>
      </c>
    </row>
    <row r="106" spans="1:12" ht="12.75">
      <c r="A106" s="6">
        <f t="shared" si="11"/>
        <v>43282</v>
      </c>
      <c r="B106" s="19">
        <f t="shared" si="12"/>
        <v>96</v>
      </c>
      <c r="C106" s="50">
        <f t="shared" si="13"/>
      </c>
      <c r="D106" s="50">
        <f t="shared" si="14"/>
      </c>
      <c r="E106" s="50">
        <f t="shared" si="15"/>
      </c>
      <c r="F106" s="50">
        <f t="shared" si="16"/>
        <v>0</v>
      </c>
      <c r="G106" s="21">
        <f t="shared" si="17"/>
      </c>
      <c r="H106" s="48">
        <f>IF(F105&lt;0.5,"",IF(OR(YEAR(A106)&lt;YEAR(A107),F106&lt;0.5),SUM($G$11:G106)-SUM($H$11:H105),""))</f>
      </c>
      <c r="I106" s="51">
        <f t="shared" si="18"/>
      </c>
      <c r="J106" s="51">
        <f t="shared" si="19"/>
      </c>
      <c r="K106" s="52">
        <f t="shared" si="20"/>
      </c>
      <c r="L106" s="48">
        <f t="shared" si="21"/>
      </c>
    </row>
    <row r="107" spans="1:12" ht="12.75">
      <c r="A107" s="6">
        <f t="shared" si="11"/>
        <v>43313</v>
      </c>
      <c r="B107" s="19">
        <f t="shared" si="12"/>
        <v>97</v>
      </c>
      <c r="C107" s="50">
        <f t="shared" si="13"/>
      </c>
      <c r="D107" s="50">
        <f t="shared" si="14"/>
      </c>
      <c r="E107" s="50">
        <f t="shared" si="15"/>
      </c>
      <c r="F107" s="50">
        <f t="shared" si="16"/>
        <v>0</v>
      </c>
      <c r="G107" s="21">
        <f t="shared" si="17"/>
      </c>
      <c r="H107" s="48">
        <f>IF(F106&lt;0.5,"",IF(OR(YEAR(A107)&lt;YEAR(A108),F107&lt;0.5),SUM($G$11:G107)-SUM($H$11:H106),""))</f>
      </c>
      <c r="I107" s="51">
        <f t="shared" si="18"/>
      </c>
      <c r="J107" s="51">
        <f t="shared" si="19"/>
      </c>
      <c r="K107" s="52">
        <f t="shared" si="20"/>
      </c>
      <c r="L107" s="48">
        <f t="shared" si="21"/>
      </c>
    </row>
    <row r="108" spans="1:12" ht="12.75">
      <c r="A108" s="6">
        <f t="shared" si="11"/>
        <v>43344</v>
      </c>
      <c r="B108" s="19">
        <f t="shared" si="12"/>
        <v>98</v>
      </c>
      <c r="C108" s="50">
        <f t="shared" si="13"/>
      </c>
      <c r="D108" s="50">
        <f t="shared" si="14"/>
      </c>
      <c r="E108" s="50">
        <f t="shared" si="15"/>
      </c>
      <c r="F108" s="50">
        <f t="shared" si="16"/>
        <v>0</v>
      </c>
      <c r="G108" s="21">
        <f t="shared" si="17"/>
      </c>
      <c r="H108" s="48">
        <f>IF(F107&lt;0.5,"",IF(OR(YEAR(A108)&lt;YEAR(A109),F108&lt;0.5),SUM($G$11:G108)-SUM($H$11:H107),""))</f>
      </c>
      <c r="I108" s="51">
        <f t="shared" si="18"/>
      </c>
      <c r="J108" s="51">
        <f t="shared" si="19"/>
      </c>
      <c r="K108" s="52">
        <f t="shared" si="20"/>
      </c>
      <c r="L108" s="48">
        <f t="shared" si="21"/>
      </c>
    </row>
    <row r="109" spans="1:12" ht="12.75">
      <c r="A109" s="6">
        <f t="shared" si="11"/>
        <v>43374</v>
      </c>
      <c r="B109" s="19">
        <f t="shared" si="12"/>
        <v>99</v>
      </c>
      <c r="C109" s="50">
        <f t="shared" si="13"/>
      </c>
      <c r="D109" s="50">
        <f t="shared" si="14"/>
      </c>
      <c r="E109" s="50">
        <f t="shared" si="15"/>
      </c>
      <c r="F109" s="50">
        <f t="shared" si="16"/>
        <v>0</v>
      </c>
      <c r="G109" s="21">
        <f t="shared" si="17"/>
      </c>
      <c r="H109" s="48">
        <f>IF(F108&lt;0.5,"",IF(OR(YEAR(A109)&lt;YEAR(A110),F109&lt;0.5),SUM($G$11:G109)-SUM($H$11:H108),""))</f>
      </c>
      <c r="I109" s="51">
        <f t="shared" si="18"/>
      </c>
      <c r="J109" s="51">
        <f t="shared" si="19"/>
      </c>
      <c r="K109" s="52">
        <f t="shared" si="20"/>
      </c>
      <c r="L109" s="48">
        <f t="shared" si="21"/>
      </c>
    </row>
    <row r="110" spans="1:12" ht="12.75">
      <c r="A110" s="6">
        <f t="shared" si="11"/>
        <v>43405</v>
      </c>
      <c r="B110" s="19">
        <f t="shared" si="12"/>
        <v>100</v>
      </c>
      <c r="C110" s="50">
        <f t="shared" si="13"/>
      </c>
      <c r="D110" s="50">
        <f t="shared" si="14"/>
      </c>
      <c r="E110" s="50">
        <f t="shared" si="15"/>
      </c>
      <c r="F110" s="50">
        <f t="shared" si="16"/>
        <v>0</v>
      </c>
      <c r="G110" s="21">
        <f t="shared" si="17"/>
      </c>
      <c r="H110" s="48">
        <f>IF(F109&lt;0.5,"",IF(OR(YEAR(A110)&lt;YEAR(A111),F110&lt;0.5),SUM($G$11:G110)-SUM($H$11:H109),""))</f>
      </c>
      <c r="I110" s="51">
        <f t="shared" si="18"/>
      </c>
      <c r="J110" s="51">
        <f t="shared" si="19"/>
      </c>
      <c r="K110" s="52">
        <f t="shared" si="20"/>
      </c>
      <c r="L110" s="48">
        <f t="shared" si="21"/>
      </c>
    </row>
    <row r="111" spans="1:12" ht="12.75">
      <c r="A111" s="6">
        <f t="shared" si="11"/>
        <v>43435</v>
      </c>
      <c r="B111" s="19">
        <f t="shared" si="12"/>
        <v>101</v>
      </c>
      <c r="C111" s="50">
        <f t="shared" si="13"/>
      </c>
      <c r="D111" s="50">
        <f t="shared" si="14"/>
      </c>
      <c r="E111" s="50">
        <f t="shared" si="15"/>
      </c>
      <c r="F111" s="50">
        <f t="shared" si="16"/>
        <v>0</v>
      </c>
      <c r="G111" s="21">
        <f t="shared" si="17"/>
      </c>
      <c r="H111" s="48">
        <f>IF(F110&lt;0.5,"",IF(OR(YEAR(A111)&lt;YEAR(A112),F111&lt;0.5),SUM($G$11:G111)-SUM($H$11:H110),""))</f>
      </c>
      <c r="I111" s="51">
        <f t="shared" si="18"/>
      </c>
      <c r="J111" s="51">
        <f t="shared" si="19"/>
      </c>
      <c r="K111" s="52">
        <f t="shared" si="20"/>
      </c>
      <c r="L111" s="48">
        <f t="shared" si="21"/>
      </c>
    </row>
    <row r="112" spans="1:12" ht="12.75">
      <c r="A112" s="6">
        <f t="shared" si="11"/>
        <v>43466</v>
      </c>
      <c r="B112" s="19">
        <f t="shared" si="12"/>
        <v>102</v>
      </c>
      <c r="C112" s="50">
        <f t="shared" si="13"/>
      </c>
      <c r="D112" s="50">
        <f t="shared" si="14"/>
      </c>
      <c r="E112" s="50">
        <f t="shared" si="15"/>
      </c>
      <c r="F112" s="50">
        <f t="shared" si="16"/>
        <v>0</v>
      </c>
      <c r="G112" s="21">
        <f t="shared" si="17"/>
      </c>
      <c r="H112" s="48">
        <f>IF(F111&lt;0.5,"",IF(OR(YEAR(A112)&lt;YEAR(A113),F112&lt;0.5),SUM($G$11:G112)-SUM($H$11:H111),""))</f>
      </c>
      <c r="I112" s="51">
        <f t="shared" si="18"/>
      </c>
      <c r="J112" s="51">
        <f t="shared" si="19"/>
      </c>
      <c r="K112" s="52">
        <f t="shared" si="20"/>
      </c>
      <c r="L112" s="48">
        <f t="shared" si="21"/>
      </c>
    </row>
    <row r="113" spans="1:12" ht="12.75">
      <c r="A113" s="6">
        <f t="shared" si="11"/>
        <v>43497</v>
      </c>
      <c r="B113" s="19">
        <f t="shared" si="12"/>
        <v>103</v>
      </c>
      <c r="C113" s="50">
        <f t="shared" si="13"/>
      </c>
      <c r="D113" s="50">
        <f t="shared" si="14"/>
      </c>
      <c r="E113" s="50">
        <f t="shared" si="15"/>
      </c>
      <c r="F113" s="50">
        <f t="shared" si="16"/>
        <v>0</v>
      </c>
      <c r="G113" s="21">
        <f t="shared" si="17"/>
      </c>
      <c r="H113" s="48">
        <f>IF(F112&lt;0.5,"",IF(OR(YEAR(A113)&lt;YEAR(A114),F113&lt;0.5),SUM($G$11:G113)-SUM($H$11:H112),""))</f>
      </c>
      <c r="I113" s="51">
        <f t="shared" si="18"/>
      </c>
      <c r="J113" s="51">
        <f t="shared" si="19"/>
      </c>
      <c r="K113" s="52">
        <f t="shared" si="20"/>
      </c>
      <c r="L113" s="48">
        <f t="shared" si="21"/>
      </c>
    </row>
    <row r="114" spans="1:12" ht="12.75">
      <c r="A114" s="6">
        <f t="shared" si="11"/>
        <v>43525</v>
      </c>
      <c r="B114" s="19">
        <f t="shared" si="12"/>
        <v>104</v>
      </c>
      <c r="C114" s="50">
        <f t="shared" si="13"/>
      </c>
      <c r="D114" s="50">
        <f t="shared" si="14"/>
      </c>
      <c r="E114" s="50">
        <f t="shared" si="15"/>
      </c>
      <c r="F114" s="50">
        <f t="shared" si="16"/>
        <v>0</v>
      </c>
      <c r="G114" s="21">
        <f t="shared" si="17"/>
      </c>
      <c r="H114" s="48">
        <f>IF(F113&lt;0.5,"",IF(OR(YEAR(A114)&lt;YEAR(A115),F114&lt;0.5),SUM($G$11:G114)-SUM($H$11:H113),""))</f>
      </c>
      <c r="I114" s="51">
        <f t="shared" si="18"/>
      </c>
      <c r="J114" s="51">
        <f t="shared" si="19"/>
      </c>
      <c r="K114" s="52">
        <f t="shared" si="20"/>
      </c>
      <c r="L114" s="48">
        <f t="shared" si="21"/>
      </c>
    </row>
    <row r="115" spans="1:12" ht="12.75">
      <c r="A115" s="6">
        <f t="shared" si="11"/>
        <v>43556</v>
      </c>
      <c r="B115" s="19">
        <f t="shared" si="12"/>
        <v>105</v>
      </c>
      <c r="C115" s="50">
        <f t="shared" si="13"/>
      </c>
      <c r="D115" s="50">
        <f t="shared" si="14"/>
      </c>
      <c r="E115" s="50">
        <f t="shared" si="15"/>
      </c>
      <c r="F115" s="50">
        <f t="shared" si="16"/>
        <v>0</v>
      </c>
      <c r="G115" s="21">
        <f t="shared" si="17"/>
      </c>
      <c r="H115" s="48">
        <f>IF(F114&lt;0.5,"",IF(OR(YEAR(A115)&lt;YEAR(A116),F115&lt;0.5),SUM($G$11:G115)-SUM($H$11:H114),""))</f>
      </c>
      <c r="I115" s="51">
        <f t="shared" si="18"/>
      </c>
      <c r="J115" s="51">
        <f t="shared" si="19"/>
      </c>
      <c r="K115" s="52">
        <f t="shared" si="20"/>
      </c>
      <c r="L115" s="48">
        <f t="shared" si="21"/>
      </c>
    </row>
    <row r="116" spans="1:12" ht="12.75">
      <c r="A116" s="6">
        <f t="shared" si="11"/>
        <v>43586</v>
      </c>
      <c r="B116" s="19">
        <f t="shared" si="12"/>
        <v>106</v>
      </c>
      <c r="C116" s="50">
        <f t="shared" si="13"/>
      </c>
      <c r="D116" s="50">
        <f t="shared" si="14"/>
      </c>
      <c r="E116" s="50">
        <f t="shared" si="15"/>
      </c>
      <c r="F116" s="50">
        <f t="shared" si="16"/>
        <v>0</v>
      </c>
      <c r="G116" s="21">
        <f t="shared" si="17"/>
      </c>
      <c r="H116" s="48">
        <f>IF(F115&lt;0.5,"",IF(OR(YEAR(A116)&lt;YEAR(A117),F116&lt;0.5),SUM($G$11:G116)-SUM($H$11:H115),""))</f>
      </c>
      <c r="I116" s="51">
        <f t="shared" si="18"/>
      </c>
      <c r="J116" s="51">
        <f t="shared" si="19"/>
      </c>
      <c r="K116" s="52">
        <f t="shared" si="20"/>
      </c>
      <c r="L116" s="48">
        <f t="shared" si="21"/>
      </c>
    </row>
    <row r="117" spans="1:12" ht="12.75">
      <c r="A117" s="6">
        <f t="shared" si="11"/>
        <v>43617</v>
      </c>
      <c r="B117" s="19">
        <f t="shared" si="12"/>
        <v>107</v>
      </c>
      <c r="C117" s="50">
        <f t="shared" si="13"/>
      </c>
      <c r="D117" s="50">
        <f t="shared" si="14"/>
      </c>
      <c r="E117" s="50">
        <f t="shared" si="15"/>
      </c>
      <c r="F117" s="50">
        <f t="shared" si="16"/>
        <v>0</v>
      </c>
      <c r="G117" s="21">
        <f t="shared" si="17"/>
      </c>
      <c r="H117" s="48">
        <f>IF(F116&lt;0.5,"",IF(OR(YEAR(A117)&lt;YEAR(A118),F117&lt;0.5),SUM($G$11:G117)-SUM($H$11:H116),""))</f>
      </c>
      <c r="I117" s="51">
        <f t="shared" si="18"/>
      </c>
      <c r="J117" s="51">
        <f t="shared" si="19"/>
      </c>
      <c r="K117" s="52">
        <f t="shared" si="20"/>
      </c>
      <c r="L117" s="48">
        <f t="shared" si="21"/>
      </c>
    </row>
    <row r="118" spans="1:12" ht="12.75">
      <c r="A118" s="6">
        <f t="shared" si="11"/>
        <v>43647</v>
      </c>
      <c r="B118" s="19">
        <f t="shared" si="12"/>
        <v>108</v>
      </c>
      <c r="C118" s="50">
        <f t="shared" si="13"/>
      </c>
      <c r="D118" s="50">
        <f t="shared" si="14"/>
      </c>
      <c r="E118" s="50">
        <f t="shared" si="15"/>
      </c>
      <c r="F118" s="50">
        <f t="shared" si="16"/>
        <v>0</v>
      </c>
      <c r="G118" s="21">
        <f t="shared" si="17"/>
      </c>
      <c r="H118" s="48">
        <f>IF(F117&lt;0.5,"",IF(OR(YEAR(A118)&lt;YEAR(A119),F118&lt;0.5),SUM($G$11:G118)-SUM($H$11:H117),""))</f>
      </c>
      <c r="I118" s="51">
        <f t="shared" si="18"/>
      </c>
      <c r="J118" s="51">
        <f t="shared" si="19"/>
      </c>
      <c r="K118" s="52">
        <f t="shared" si="20"/>
      </c>
      <c r="L118" s="48">
        <f t="shared" si="21"/>
      </c>
    </row>
    <row r="119" spans="1:12" ht="12.75">
      <c r="A119" s="6">
        <f t="shared" si="11"/>
        <v>43678</v>
      </c>
      <c r="B119" s="19">
        <f t="shared" si="12"/>
        <v>109</v>
      </c>
      <c r="C119" s="50">
        <f t="shared" si="13"/>
      </c>
      <c r="D119" s="50">
        <f t="shared" si="14"/>
      </c>
      <c r="E119" s="50">
        <f t="shared" si="15"/>
      </c>
      <c r="F119" s="50">
        <f t="shared" si="16"/>
        <v>0</v>
      </c>
      <c r="G119" s="21">
        <f t="shared" si="17"/>
      </c>
      <c r="H119" s="48">
        <f>IF(F118&lt;0.5,"",IF(OR(YEAR(A119)&lt;YEAR(A120),F119&lt;0.5),SUM($G$11:G119)-SUM($H$11:H118),""))</f>
      </c>
      <c r="I119" s="51">
        <f t="shared" si="18"/>
      </c>
      <c r="J119" s="51">
        <f t="shared" si="19"/>
      </c>
      <c r="K119" s="52">
        <f t="shared" si="20"/>
      </c>
      <c r="L119" s="48">
        <f t="shared" si="21"/>
      </c>
    </row>
    <row r="120" spans="1:12" ht="12.75">
      <c r="A120" s="6">
        <f t="shared" si="11"/>
        <v>43709</v>
      </c>
      <c r="B120" s="19">
        <f t="shared" si="12"/>
        <v>110</v>
      </c>
      <c r="C120" s="50">
        <f t="shared" si="13"/>
      </c>
      <c r="D120" s="50">
        <f t="shared" si="14"/>
      </c>
      <c r="E120" s="50">
        <f t="shared" si="15"/>
      </c>
      <c r="F120" s="50">
        <f t="shared" si="16"/>
        <v>0</v>
      </c>
      <c r="G120" s="21">
        <f t="shared" si="17"/>
      </c>
      <c r="H120" s="48">
        <f>IF(F119&lt;0.5,"",IF(OR(YEAR(A120)&lt;YEAR(A121),F120&lt;0.5),SUM($G$11:G120)-SUM($H$11:H119),""))</f>
      </c>
      <c r="I120" s="51">
        <f t="shared" si="18"/>
      </c>
      <c r="J120" s="51">
        <f t="shared" si="19"/>
      </c>
      <c r="K120" s="52">
        <f t="shared" si="20"/>
      </c>
      <c r="L120" s="48">
        <f t="shared" si="21"/>
      </c>
    </row>
    <row r="121" spans="1:12" ht="12.75">
      <c r="A121" s="6">
        <f t="shared" si="11"/>
        <v>43739</v>
      </c>
      <c r="B121" s="19">
        <f t="shared" si="12"/>
        <v>111</v>
      </c>
      <c r="C121" s="50">
        <f t="shared" si="13"/>
      </c>
      <c r="D121" s="50">
        <f t="shared" si="14"/>
      </c>
      <c r="E121" s="50">
        <f t="shared" si="15"/>
      </c>
      <c r="F121" s="50">
        <f t="shared" si="16"/>
        <v>0</v>
      </c>
      <c r="G121" s="21">
        <f t="shared" si="17"/>
      </c>
      <c r="H121" s="48">
        <f>IF(F120&lt;0.5,"",IF(OR(YEAR(A121)&lt;YEAR(A122),F121&lt;0.5),SUM($G$11:G121)-SUM($H$11:H120),""))</f>
      </c>
      <c r="I121" s="51">
        <f t="shared" si="18"/>
      </c>
      <c r="J121" s="51">
        <f t="shared" si="19"/>
      </c>
      <c r="K121" s="52">
        <f t="shared" si="20"/>
      </c>
      <c r="L121" s="48">
        <f t="shared" si="21"/>
      </c>
    </row>
    <row r="122" spans="1:12" ht="12.75">
      <c r="A122" s="6">
        <f t="shared" si="11"/>
        <v>43770</v>
      </c>
      <c r="B122" s="19">
        <f t="shared" si="12"/>
        <v>112</v>
      </c>
      <c r="C122" s="50">
        <f t="shared" si="13"/>
      </c>
      <c r="D122" s="50">
        <f t="shared" si="14"/>
      </c>
      <c r="E122" s="50">
        <f t="shared" si="15"/>
      </c>
      <c r="F122" s="50">
        <f t="shared" si="16"/>
        <v>0</v>
      </c>
      <c r="G122" s="21">
        <f t="shared" si="17"/>
      </c>
      <c r="H122" s="48">
        <f>IF(F121&lt;0.5,"",IF(OR(YEAR(A122)&lt;YEAR(A123),F122&lt;0.5),SUM($G$11:G122)-SUM($H$11:H121),""))</f>
      </c>
      <c r="I122" s="51">
        <f t="shared" si="18"/>
      </c>
      <c r="J122" s="51">
        <f t="shared" si="19"/>
      </c>
      <c r="K122" s="52">
        <f t="shared" si="20"/>
      </c>
      <c r="L122" s="48">
        <f t="shared" si="21"/>
      </c>
    </row>
    <row r="123" spans="1:12" ht="12.75">
      <c r="A123" s="6">
        <f t="shared" si="11"/>
        <v>43800</v>
      </c>
      <c r="B123" s="19">
        <f t="shared" si="12"/>
        <v>113</v>
      </c>
      <c r="C123" s="50">
        <f t="shared" si="13"/>
      </c>
      <c r="D123" s="50">
        <f t="shared" si="14"/>
      </c>
      <c r="E123" s="50">
        <f t="shared" si="15"/>
      </c>
      <c r="F123" s="50">
        <f t="shared" si="16"/>
        <v>0</v>
      </c>
      <c r="G123" s="21">
        <f t="shared" si="17"/>
      </c>
      <c r="H123" s="48">
        <f>IF(F122&lt;0.5,"",IF(OR(YEAR(A123)&lt;YEAR(A124),F123&lt;0.5),SUM($G$11:G123)-SUM($H$11:H122),""))</f>
      </c>
      <c r="I123" s="51">
        <f t="shared" si="18"/>
      </c>
      <c r="J123" s="51">
        <f t="shared" si="19"/>
      </c>
      <c r="K123" s="52">
        <f t="shared" si="20"/>
      </c>
      <c r="L123" s="48">
        <f t="shared" si="21"/>
      </c>
    </row>
    <row r="124" spans="1:12" ht="12.75">
      <c r="A124" s="6">
        <f t="shared" si="11"/>
        <v>43831</v>
      </c>
      <c r="B124" s="19">
        <f t="shared" si="12"/>
        <v>114</v>
      </c>
      <c r="C124" s="50">
        <f t="shared" si="13"/>
      </c>
      <c r="D124" s="50">
        <f t="shared" si="14"/>
      </c>
      <c r="E124" s="50">
        <f t="shared" si="15"/>
      </c>
      <c r="F124" s="50">
        <f t="shared" si="16"/>
        <v>0</v>
      </c>
      <c r="G124" s="21">
        <f t="shared" si="17"/>
      </c>
      <c r="H124" s="48">
        <f>IF(F123&lt;0.5,"",IF(OR(YEAR(A124)&lt;YEAR(A125),F124&lt;0.5),SUM($G$11:G124)-SUM($H$11:H123),""))</f>
      </c>
      <c r="I124" s="51">
        <f t="shared" si="18"/>
      </c>
      <c r="J124" s="51">
        <f t="shared" si="19"/>
      </c>
      <c r="K124" s="52">
        <f t="shared" si="20"/>
      </c>
      <c r="L124" s="48">
        <f t="shared" si="21"/>
      </c>
    </row>
    <row r="125" spans="1:12" ht="12.75">
      <c r="A125" s="6">
        <f t="shared" si="11"/>
        <v>43862</v>
      </c>
      <c r="B125" s="19">
        <f t="shared" si="12"/>
        <v>115</v>
      </c>
      <c r="C125" s="50">
        <f t="shared" si="13"/>
      </c>
      <c r="D125" s="50">
        <f t="shared" si="14"/>
      </c>
      <c r="E125" s="50">
        <f t="shared" si="15"/>
      </c>
      <c r="F125" s="50">
        <f t="shared" si="16"/>
        <v>0</v>
      </c>
      <c r="G125" s="21">
        <f t="shared" si="17"/>
      </c>
      <c r="H125" s="48">
        <f>IF(F124&lt;0.5,"",IF(OR(YEAR(A125)&lt;YEAR(A126),F125&lt;0.5),SUM($G$11:G125)-SUM($H$11:H124),""))</f>
      </c>
      <c r="I125" s="51">
        <f t="shared" si="18"/>
      </c>
      <c r="J125" s="51">
        <f t="shared" si="19"/>
      </c>
      <c r="K125" s="52">
        <f t="shared" si="20"/>
      </c>
      <c r="L125" s="48">
        <f t="shared" si="21"/>
      </c>
    </row>
    <row r="126" spans="1:12" ht="12.75">
      <c r="A126" s="6">
        <f t="shared" si="11"/>
        <v>43891</v>
      </c>
      <c r="B126" s="19">
        <f t="shared" si="12"/>
        <v>116</v>
      </c>
      <c r="C126" s="50">
        <f t="shared" si="13"/>
      </c>
      <c r="D126" s="50">
        <f t="shared" si="14"/>
      </c>
      <c r="E126" s="50">
        <f t="shared" si="15"/>
      </c>
      <c r="F126" s="50">
        <f t="shared" si="16"/>
        <v>0</v>
      </c>
      <c r="G126" s="21">
        <f t="shared" si="17"/>
      </c>
      <c r="H126" s="48">
        <f>IF(F125&lt;0.5,"",IF(OR(YEAR(A126)&lt;YEAR(A127),F126&lt;0.5),SUM($G$11:G126)-SUM($H$11:H125),""))</f>
      </c>
      <c r="I126" s="51">
        <f t="shared" si="18"/>
      </c>
      <c r="J126" s="51">
        <f t="shared" si="19"/>
      </c>
      <c r="K126" s="52">
        <f t="shared" si="20"/>
      </c>
      <c r="L126" s="48">
        <f t="shared" si="21"/>
      </c>
    </row>
    <row r="127" spans="1:12" ht="12.75">
      <c r="A127" s="6">
        <f t="shared" si="11"/>
        <v>43922</v>
      </c>
      <c r="B127" s="19">
        <f t="shared" si="12"/>
        <v>117</v>
      </c>
      <c r="C127" s="50">
        <f t="shared" si="13"/>
      </c>
      <c r="D127" s="50">
        <f t="shared" si="14"/>
      </c>
      <c r="E127" s="50">
        <f t="shared" si="15"/>
      </c>
      <c r="F127" s="50">
        <f t="shared" si="16"/>
        <v>0</v>
      </c>
      <c r="G127" s="21">
        <f t="shared" si="17"/>
      </c>
      <c r="H127" s="48">
        <f>IF(F126&lt;0.5,"",IF(OR(YEAR(A127)&lt;YEAR(A128),F127&lt;0.5),SUM($G$11:G127)-SUM($H$11:H126),""))</f>
      </c>
      <c r="I127" s="51">
        <f t="shared" si="18"/>
      </c>
      <c r="J127" s="51">
        <f t="shared" si="19"/>
      </c>
      <c r="K127" s="52">
        <f t="shared" si="20"/>
      </c>
      <c r="L127" s="48">
        <f t="shared" si="21"/>
      </c>
    </row>
    <row r="128" spans="1:12" ht="12.75">
      <c r="A128" s="6">
        <f t="shared" si="11"/>
        <v>43952</v>
      </c>
      <c r="B128" s="19">
        <f t="shared" si="12"/>
        <v>118</v>
      </c>
      <c r="C128" s="50">
        <f t="shared" si="13"/>
      </c>
      <c r="D128" s="50">
        <f t="shared" si="14"/>
      </c>
      <c r="E128" s="50">
        <f t="shared" si="15"/>
      </c>
      <c r="F128" s="50">
        <f t="shared" si="16"/>
        <v>0</v>
      </c>
      <c r="G128" s="21">
        <f t="shared" si="17"/>
      </c>
      <c r="H128" s="48">
        <f>IF(F127&lt;0.5,"",IF(OR(YEAR(A128)&lt;YEAR(A129),F128&lt;0.5),SUM($G$11:G128)-SUM($H$11:H127),""))</f>
      </c>
      <c r="I128" s="51">
        <f t="shared" si="18"/>
      </c>
      <c r="J128" s="51">
        <f t="shared" si="19"/>
      </c>
      <c r="K128" s="52">
        <f t="shared" si="20"/>
      </c>
      <c r="L128" s="48">
        <f t="shared" si="21"/>
      </c>
    </row>
    <row r="129" spans="1:12" ht="12.75">
      <c r="A129" s="6">
        <f t="shared" si="11"/>
        <v>43983</v>
      </c>
      <c r="B129" s="19">
        <f t="shared" si="12"/>
        <v>119</v>
      </c>
      <c r="C129" s="50">
        <f t="shared" si="13"/>
      </c>
      <c r="D129" s="50">
        <f t="shared" si="14"/>
      </c>
      <c r="E129" s="50">
        <f t="shared" si="15"/>
      </c>
      <c r="F129" s="50">
        <f t="shared" si="16"/>
        <v>0</v>
      </c>
      <c r="G129" s="21">
        <f t="shared" si="17"/>
      </c>
      <c r="H129" s="48">
        <f>IF(F128&lt;0.5,"",IF(OR(YEAR(A129)&lt;YEAR(A130),F129&lt;0.5),SUM($G$11:G129)-SUM($H$11:H128),""))</f>
      </c>
      <c r="I129" s="51">
        <f t="shared" si="18"/>
      </c>
      <c r="J129" s="51">
        <f t="shared" si="19"/>
      </c>
      <c r="K129" s="52">
        <f t="shared" si="20"/>
      </c>
      <c r="L129" s="48">
        <f t="shared" si="21"/>
      </c>
    </row>
    <row r="130" spans="1:12" ht="12.75">
      <c r="A130" s="6">
        <f t="shared" si="11"/>
        <v>44013</v>
      </c>
      <c r="B130" s="19">
        <f t="shared" si="12"/>
        <v>120</v>
      </c>
      <c r="C130" s="50">
        <f t="shared" si="13"/>
      </c>
      <c r="D130" s="50">
        <f t="shared" si="14"/>
      </c>
      <c r="E130" s="50">
        <f t="shared" si="15"/>
      </c>
      <c r="F130" s="50">
        <f t="shared" si="16"/>
        <v>0</v>
      </c>
      <c r="G130" s="21">
        <f t="shared" si="17"/>
      </c>
      <c r="H130" s="48">
        <f>IF(F129&lt;0.5,"",IF(OR(YEAR(A130)&lt;YEAR(A131),F130&lt;0.5),SUM($G$11:G130)-SUM($H$11:H129),""))</f>
      </c>
      <c r="I130" s="51">
        <f t="shared" si="18"/>
      </c>
      <c r="J130" s="51">
        <f t="shared" si="19"/>
      </c>
      <c r="K130" s="52">
        <f t="shared" si="20"/>
      </c>
      <c r="L130" s="48">
        <f t="shared" si="21"/>
      </c>
    </row>
    <row r="131" spans="1:12" ht="12.75">
      <c r="A131" s="6">
        <f t="shared" si="11"/>
        <v>44044</v>
      </c>
      <c r="B131" s="19">
        <f t="shared" si="12"/>
        <v>121</v>
      </c>
      <c r="C131" s="50">
        <f t="shared" si="13"/>
      </c>
      <c r="D131" s="50">
        <f t="shared" si="14"/>
      </c>
      <c r="E131" s="50">
        <f t="shared" si="15"/>
      </c>
      <c r="F131" s="50">
        <f t="shared" si="16"/>
        <v>0</v>
      </c>
      <c r="G131" s="21">
        <f t="shared" si="17"/>
      </c>
      <c r="H131" s="48">
        <f>IF(F130&lt;0.5,"",IF(OR(YEAR(A131)&lt;YEAR(A132),F131&lt;0.5),SUM($G$11:G131)-SUM($H$11:H130),""))</f>
      </c>
      <c r="I131" s="51">
        <f t="shared" si="18"/>
      </c>
      <c r="J131" s="51">
        <f t="shared" si="19"/>
      </c>
      <c r="K131" s="52">
        <f t="shared" si="20"/>
      </c>
      <c r="L131" s="48">
        <f t="shared" si="21"/>
      </c>
    </row>
    <row r="132" spans="1:12" ht="12.75">
      <c r="A132" s="6">
        <f t="shared" si="11"/>
        <v>44075</v>
      </c>
      <c r="B132" s="19">
        <f t="shared" si="12"/>
        <v>122</v>
      </c>
      <c r="C132" s="50">
        <f t="shared" si="13"/>
      </c>
      <c r="D132" s="50">
        <f t="shared" si="14"/>
      </c>
      <c r="E132" s="50">
        <f t="shared" si="15"/>
      </c>
      <c r="F132" s="50">
        <f t="shared" si="16"/>
        <v>0</v>
      </c>
      <c r="G132" s="21">
        <f t="shared" si="17"/>
      </c>
      <c r="H132" s="48">
        <f>IF(F131&lt;0.5,"",IF(OR(YEAR(A132)&lt;YEAR(A133),F132&lt;0.5),SUM($G$11:G132)-SUM($H$11:H131),""))</f>
      </c>
      <c r="I132" s="51">
        <f t="shared" si="18"/>
      </c>
      <c r="J132" s="51">
        <f t="shared" si="19"/>
      </c>
      <c r="K132" s="52">
        <f t="shared" si="20"/>
      </c>
      <c r="L132" s="48">
        <f t="shared" si="21"/>
      </c>
    </row>
    <row r="133" spans="1:12" ht="12.75">
      <c r="A133" s="6">
        <f t="shared" si="11"/>
        <v>44105</v>
      </c>
      <c r="B133" s="19">
        <f t="shared" si="12"/>
        <v>123</v>
      </c>
      <c r="C133" s="50">
        <f t="shared" si="13"/>
      </c>
      <c r="D133" s="50">
        <f t="shared" si="14"/>
      </c>
      <c r="E133" s="50">
        <f t="shared" si="15"/>
      </c>
      <c r="F133" s="50">
        <f t="shared" si="16"/>
        <v>0</v>
      </c>
      <c r="G133" s="21">
        <f t="shared" si="17"/>
      </c>
      <c r="H133" s="48">
        <f>IF(F132&lt;0.5,"",IF(OR(YEAR(A133)&lt;YEAR(A134),F133&lt;0.5),SUM($G$11:G133)-SUM($H$11:H132),""))</f>
      </c>
      <c r="I133" s="51">
        <f t="shared" si="18"/>
      </c>
      <c r="J133" s="51">
        <f t="shared" si="19"/>
      </c>
      <c r="K133" s="52">
        <f t="shared" si="20"/>
      </c>
      <c r="L133" s="48">
        <f t="shared" si="21"/>
      </c>
    </row>
    <row r="134" spans="1:12" ht="12.75">
      <c r="A134" s="6">
        <f t="shared" si="11"/>
        <v>44136</v>
      </c>
      <c r="B134" s="19">
        <f t="shared" si="12"/>
        <v>124</v>
      </c>
      <c r="C134" s="50">
        <f t="shared" si="13"/>
      </c>
      <c r="D134" s="50">
        <f t="shared" si="14"/>
      </c>
      <c r="E134" s="50">
        <f t="shared" si="15"/>
      </c>
      <c r="F134" s="50">
        <f t="shared" si="16"/>
        <v>0</v>
      </c>
      <c r="G134" s="21">
        <f t="shared" si="17"/>
      </c>
      <c r="H134" s="48">
        <f>IF(F133&lt;0.5,"",IF(OR(YEAR(A134)&lt;YEAR(A135),F134&lt;0.5),SUM($G$11:G134)-SUM($H$11:H133),""))</f>
      </c>
      <c r="I134" s="51">
        <f t="shared" si="18"/>
      </c>
      <c r="J134" s="51">
        <f t="shared" si="19"/>
      </c>
      <c r="K134" s="52">
        <f t="shared" si="20"/>
      </c>
      <c r="L134" s="48">
        <f t="shared" si="21"/>
      </c>
    </row>
    <row r="135" spans="1:12" ht="12.75">
      <c r="A135" s="6">
        <f t="shared" si="11"/>
        <v>44166</v>
      </c>
      <c r="B135" s="19">
        <f t="shared" si="12"/>
        <v>125</v>
      </c>
      <c r="C135" s="50">
        <f t="shared" si="13"/>
      </c>
      <c r="D135" s="50">
        <f t="shared" si="14"/>
      </c>
      <c r="E135" s="50">
        <f t="shared" si="15"/>
      </c>
      <c r="F135" s="50">
        <f t="shared" si="16"/>
        <v>0</v>
      </c>
      <c r="G135" s="21">
        <f t="shared" si="17"/>
      </c>
      <c r="H135" s="48">
        <f>IF(F134&lt;0.5,"",IF(OR(YEAR(A135)&lt;YEAR(A136),F135&lt;0.5),SUM($G$11:G135)-SUM($H$11:H134),""))</f>
      </c>
      <c r="I135" s="51">
        <f t="shared" si="18"/>
      </c>
      <c r="J135" s="51">
        <f t="shared" si="19"/>
      </c>
      <c r="K135" s="52">
        <f t="shared" si="20"/>
      </c>
      <c r="L135" s="48">
        <f t="shared" si="21"/>
      </c>
    </row>
    <row r="136" spans="1:12" ht="12.75">
      <c r="A136" s="6">
        <f t="shared" si="11"/>
        <v>44197</v>
      </c>
      <c r="B136" s="19">
        <f t="shared" si="12"/>
        <v>126</v>
      </c>
      <c r="C136" s="50">
        <f t="shared" si="13"/>
      </c>
      <c r="D136" s="50">
        <f t="shared" si="14"/>
      </c>
      <c r="E136" s="50">
        <f t="shared" si="15"/>
      </c>
      <c r="F136" s="50">
        <f t="shared" si="16"/>
        <v>0</v>
      </c>
      <c r="G136" s="21">
        <f t="shared" si="17"/>
      </c>
      <c r="H136" s="48">
        <f>IF(F135&lt;0.5,"",IF(OR(YEAR(A136)&lt;YEAR(A137),F136&lt;0.5),SUM($G$11:G136)-SUM($H$11:H135),""))</f>
      </c>
      <c r="I136" s="51">
        <f t="shared" si="18"/>
      </c>
      <c r="J136" s="51">
        <f t="shared" si="19"/>
      </c>
      <c r="K136" s="52">
        <f t="shared" si="20"/>
      </c>
      <c r="L136" s="48">
        <f t="shared" si="21"/>
      </c>
    </row>
    <row r="137" spans="1:12" ht="12.75">
      <c r="A137" s="6">
        <f t="shared" si="11"/>
        <v>44228</v>
      </c>
      <c r="B137" s="19">
        <f t="shared" si="12"/>
        <v>127</v>
      </c>
      <c r="C137" s="50">
        <f t="shared" si="13"/>
      </c>
      <c r="D137" s="50">
        <f t="shared" si="14"/>
      </c>
      <c r="E137" s="50">
        <f t="shared" si="15"/>
      </c>
      <c r="F137" s="50">
        <f t="shared" si="16"/>
        <v>0</v>
      </c>
      <c r="G137" s="21">
        <f t="shared" si="17"/>
      </c>
      <c r="H137" s="48">
        <f>IF(F136&lt;0.5,"",IF(OR(YEAR(A137)&lt;YEAR(A138),F137&lt;0.5),SUM($G$11:G137)-SUM($H$11:H136),""))</f>
      </c>
      <c r="I137" s="51">
        <f t="shared" si="18"/>
      </c>
      <c r="J137" s="51">
        <f t="shared" si="19"/>
      </c>
      <c r="K137" s="52">
        <f t="shared" si="20"/>
      </c>
      <c r="L137" s="48">
        <f t="shared" si="21"/>
      </c>
    </row>
    <row r="138" spans="1:12" ht="12.75">
      <c r="A138" s="6">
        <f t="shared" si="11"/>
        <v>44256</v>
      </c>
      <c r="B138" s="19">
        <f t="shared" si="12"/>
        <v>128</v>
      </c>
      <c r="C138" s="50">
        <f t="shared" si="13"/>
      </c>
      <c r="D138" s="50">
        <f t="shared" si="14"/>
      </c>
      <c r="E138" s="50">
        <f t="shared" si="15"/>
      </c>
      <c r="F138" s="50">
        <f t="shared" si="16"/>
        <v>0</v>
      </c>
      <c r="G138" s="21">
        <f t="shared" si="17"/>
      </c>
      <c r="H138" s="48">
        <f>IF(F137&lt;0.5,"",IF(OR(YEAR(A138)&lt;YEAR(A139),F138&lt;0.5),SUM($G$11:G138)-SUM($H$11:H137),""))</f>
      </c>
      <c r="I138" s="51">
        <f t="shared" si="18"/>
      </c>
      <c r="J138" s="51">
        <f t="shared" si="19"/>
      </c>
      <c r="K138" s="52">
        <f t="shared" si="20"/>
      </c>
      <c r="L138" s="48">
        <f t="shared" si="21"/>
      </c>
    </row>
    <row r="139" spans="1:12" ht="12.75">
      <c r="A139" s="6">
        <f t="shared" si="11"/>
        <v>44287</v>
      </c>
      <c r="B139" s="19">
        <f t="shared" si="12"/>
        <v>129</v>
      </c>
      <c r="C139" s="50">
        <f t="shared" si="13"/>
      </c>
      <c r="D139" s="50">
        <f t="shared" si="14"/>
      </c>
      <c r="E139" s="50">
        <f t="shared" si="15"/>
      </c>
      <c r="F139" s="50">
        <f t="shared" si="16"/>
        <v>0</v>
      </c>
      <c r="G139" s="21">
        <f t="shared" si="17"/>
      </c>
      <c r="H139" s="48">
        <f>IF(F138&lt;0.5,"",IF(OR(YEAR(A139)&lt;YEAR(A140),F139&lt;0.5),SUM($G$11:G139)-SUM($H$11:H138),""))</f>
      </c>
      <c r="I139" s="51">
        <f t="shared" si="18"/>
      </c>
      <c r="J139" s="51">
        <f t="shared" si="19"/>
      </c>
      <c r="K139" s="52">
        <f t="shared" si="20"/>
      </c>
      <c r="L139" s="48">
        <f t="shared" si="21"/>
      </c>
    </row>
    <row r="140" spans="1:12" ht="12.75">
      <c r="A140" s="6">
        <f aca="true" t="shared" si="22" ref="A140:A203">IF($C$6&lt;27,DATE((YEAR(A139)-1900),MONTH(A139)+1,$C$6),DATE((YEAR(A139)-1900),MONTH(A139)+2,1)-1)</f>
        <v>44317</v>
      </c>
      <c r="B140" s="19">
        <f aca="true" t="shared" si="23" ref="B140:B203">B139+1</f>
        <v>130</v>
      </c>
      <c r="C140" s="50">
        <f aca="true" t="shared" si="24" ref="C140:C203">IF(F139&gt;0.5,C139,"")</f>
      </c>
      <c r="D140" s="50">
        <f aca="true" t="shared" si="25" ref="D140:D203">IF(F139&gt;0.5,$I$3*F139,"")</f>
      </c>
      <c r="E140" s="50">
        <f aca="true" t="shared" si="26" ref="E140:E203">IF(F139&gt;0.5,C140-D140,"")</f>
      </c>
      <c r="F140" s="50">
        <f aca="true" t="shared" si="27" ref="F140:F203">IF(F139&gt;0.5,F139-E140,0)</f>
        <v>0</v>
      </c>
      <c r="G140" s="21">
        <f aca="true" t="shared" si="28" ref="G140:G203">IF(F139&gt;0.5,D140*$I$5,"")</f>
      </c>
      <c r="H140" s="48">
        <f>IF(F139&lt;0.5,"",IF(OR(YEAR(A140)&lt;YEAR(A141),F140&lt;0.5),SUM($G$11:G140)-SUM($H$11:H139),""))</f>
      </c>
      <c r="I140" s="51">
        <f aca="true" t="shared" si="29" ref="I140:I203">IF(F139&gt;0.5,I139+D140,"")</f>
      </c>
      <c r="J140" s="51">
        <f aca="true" t="shared" si="30" ref="J140:J203">IF(F139&gt;0.5,J139+E140,"")</f>
      </c>
      <c r="K140" s="52">
        <f aca="true" t="shared" si="31" ref="K140:K203">IF(F139&gt;0.5,C140/(1+$I$4)^B140+K139,"")</f>
      </c>
      <c r="L140" s="48">
        <f aca="true" t="shared" si="32" ref="L140:L203">IF(F139&lt;0.5,"",IF(H140="",L139,H140/(1+$I$4)^B140+L139))</f>
      </c>
    </row>
    <row r="141" spans="1:12" ht="12.75">
      <c r="A141" s="6">
        <f t="shared" si="22"/>
        <v>44348</v>
      </c>
      <c r="B141" s="19">
        <f t="shared" si="23"/>
        <v>131</v>
      </c>
      <c r="C141" s="50">
        <f t="shared" si="24"/>
      </c>
      <c r="D141" s="50">
        <f t="shared" si="25"/>
      </c>
      <c r="E141" s="50">
        <f t="shared" si="26"/>
      </c>
      <c r="F141" s="50">
        <f t="shared" si="27"/>
        <v>0</v>
      </c>
      <c r="G141" s="21">
        <f t="shared" si="28"/>
      </c>
      <c r="H141" s="48">
        <f>IF(F140&lt;0.5,"",IF(OR(YEAR(A141)&lt;YEAR(A142),F141&lt;0.5),SUM($G$11:G141)-SUM($H$11:H140),""))</f>
      </c>
      <c r="I141" s="51">
        <f t="shared" si="29"/>
      </c>
      <c r="J141" s="51">
        <f t="shared" si="30"/>
      </c>
      <c r="K141" s="52">
        <f t="shared" si="31"/>
      </c>
      <c r="L141" s="48">
        <f t="shared" si="32"/>
      </c>
    </row>
    <row r="142" spans="1:12" ht="12.75">
      <c r="A142" s="6">
        <f t="shared" si="22"/>
        <v>44378</v>
      </c>
      <c r="B142" s="19">
        <f t="shared" si="23"/>
        <v>132</v>
      </c>
      <c r="C142" s="50">
        <f t="shared" si="24"/>
      </c>
      <c r="D142" s="50">
        <f t="shared" si="25"/>
      </c>
      <c r="E142" s="50">
        <f t="shared" si="26"/>
      </c>
      <c r="F142" s="50">
        <f t="shared" si="27"/>
        <v>0</v>
      </c>
      <c r="G142" s="21">
        <f t="shared" si="28"/>
      </c>
      <c r="H142" s="48">
        <f>IF(F141&lt;0.5,"",IF(OR(YEAR(A142)&lt;YEAR(A143),F142&lt;0.5),SUM($G$11:G142)-SUM($H$11:H141),""))</f>
      </c>
      <c r="I142" s="51">
        <f t="shared" si="29"/>
      </c>
      <c r="J142" s="51">
        <f t="shared" si="30"/>
      </c>
      <c r="K142" s="52">
        <f t="shared" si="31"/>
      </c>
      <c r="L142" s="48">
        <f t="shared" si="32"/>
      </c>
    </row>
    <row r="143" spans="1:12" ht="12.75">
      <c r="A143" s="6">
        <f t="shared" si="22"/>
        <v>44409</v>
      </c>
      <c r="B143" s="19">
        <f t="shared" si="23"/>
        <v>133</v>
      </c>
      <c r="C143" s="50">
        <f t="shared" si="24"/>
      </c>
      <c r="D143" s="50">
        <f t="shared" si="25"/>
      </c>
      <c r="E143" s="50">
        <f t="shared" si="26"/>
      </c>
      <c r="F143" s="50">
        <f t="shared" si="27"/>
        <v>0</v>
      </c>
      <c r="G143" s="21">
        <f t="shared" si="28"/>
      </c>
      <c r="H143" s="48">
        <f>IF(F142&lt;0.5,"",IF(OR(YEAR(A143)&lt;YEAR(A144),F143&lt;0.5),SUM($G$11:G143)-SUM($H$11:H142),""))</f>
      </c>
      <c r="I143" s="51">
        <f t="shared" si="29"/>
      </c>
      <c r="J143" s="51">
        <f t="shared" si="30"/>
      </c>
      <c r="K143" s="52">
        <f t="shared" si="31"/>
      </c>
      <c r="L143" s="48">
        <f t="shared" si="32"/>
      </c>
    </row>
    <row r="144" spans="1:12" ht="12.75">
      <c r="A144" s="6">
        <f t="shared" si="22"/>
        <v>44440</v>
      </c>
      <c r="B144" s="19">
        <f t="shared" si="23"/>
        <v>134</v>
      </c>
      <c r="C144" s="50">
        <f t="shared" si="24"/>
      </c>
      <c r="D144" s="50">
        <f t="shared" si="25"/>
      </c>
      <c r="E144" s="50">
        <f t="shared" si="26"/>
      </c>
      <c r="F144" s="50">
        <f t="shared" si="27"/>
        <v>0</v>
      </c>
      <c r="G144" s="21">
        <f t="shared" si="28"/>
      </c>
      <c r="H144" s="48">
        <f>IF(F143&lt;0.5,"",IF(OR(YEAR(A144)&lt;YEAR(A145),F144&lt;0.5),SUM($G$11:G144)-SUM($H$11:H143),""))</f>
      </c>
      <c r="I144" s="51">
        <f t="shared" si="29"/>
      </c>
      <c r="J144" s="51">
        <f t="shared" si="30"/>
      </c>
      <c r="K144" s="52">
        <f t="shared" si="31"/>
      </c>
      <c r="L144" s="48">
        <f t="shared" si="32"/>
      </c>
    </row>
    <row r="145" spans="1:12" ht="12.75">
      <c r="A145" s="6">
        <f t="shared" si="22"/>
        <v>44470</v>
      </c>
      <c r="B145" s="19">
        <f t="shared" si="23"/>
        <v>135</v>
      </c>
      <c r="C145" s="50">
        <f t="shared" si="24"/>
      </c>
      <c r="D145" s="50">
        <f t="shared" si="25"/>
      </c>
      <c r="E145" s="50">
        <f t="shared" si="26"/>
      </c>
      <c r="F145" s="50">
        <f t="shared" si="27"/>
        <v>0</v>
      </c>
      <c r="G145" s="21">
        <f t="shared" si="28"/>
      </c>
      <c r="H145" s="48">
        <f>IF(F144&lt;0.5,"",IF(OR(YEAR(A145)&lt;YEAR(A146),F145&lt;0.5),SUM($G$11:G145)-SUM($H$11:H144),""))</f>
      </c>
      <c r="I145" s="51">
        <f t="shared" si="29"/>
      </c>
      <c r="J145" s="51">
        <f t="shared" si="30"/>
      </c>
      <c r="K145" s="52">
        <f t="shared" si="31"/>
      </c>
      <c r="L145" s="48">
        <f t="shared" si="32"/>
      </c>
    </row>
    <row r="146" spans="1:12" ht="12.75">
      <c r="A146" s="6">
        <f t="shared" si="22"/>
        <v>44501</v>
      </c>
      <c r="B146" s="19">
        <f t="shared" si="23"/>
        <v>136</v>
      </c>
      <c r="C146" s="50">
        <f t="shared" si="24"/>
      </c>
      <c r="D146" s="50">
        <f t="shared" si="25"/>
      </c>
      <c r="E146" s="50">
        <f t="shared" si="26"/>
      </c>
      <c r="F146" s="50">
        <f t="shared" si="27"/>
        <v>0</v>
      </c>
      <c r="G146" s="21">
        <f t="shared" si="28"/>
      </c>
      <c r="H146" s="48">
        <f>IF(F145&lt;0.5,"",IF(OR(YEAR(A146)&lt;YEAR(A147),F146&lt;0.5),SUM($G$11:G146)-SUM($H$11:H145),""))</f>
      </c>
      <c r="I146" s="51">
        <f t="shared" si="29"/>
      </c>
      <c r="J146" s="51">
        <f t="shared" si="30"/>
      </c>
      <c r="K146" s="52">
        <f t="shared" si="31"/>
      </c>
      <c r="L146" s="48">
        <f t="shared" si="32"/>
      </c>
    </row>
    <row r="147" spans="1:12" ht="12.75">
      <c r="A147" s="6">
        <f t="shared" si="22"/>
        <v>44531</v>
      </c>
      <c r="B147" s="19">
        <f t="shared" si="23"/>
        <v>137</v>
      </c>
      <c r="C147" s="50">
        <f t="shared" si="24"/>
      </c>
      <c r="D147" s="50">
        <f t="shared" si="25"/>
      </c>
      <c r="E147" s="50">
        <f t="shared" si="26"/>
      </c>
      <c r="F147" s="50">
        <f t="shared" si="27"/>
        <v>0</v>
      </c>
      <c r="G147" s="21">
        <f t="shared" si="28"/>
      </c>
      <c r="H147" s="48">
        <f>IF(F146&lt;0.5,"",IF(OR(YEAR(A147)&lt;YEAR(A148),F147&lt;0.5),SUM($G$11:G147)-SUM($H$11:H146),""))</f>
      </c>
      <c r="I147" s="51">
        <f t="shared" si="29"/>
      </c>
      <c r="J147" s="51">
        <f t="shared" si="30"/>
      </c>
      <c r="K147" s="52">
        <f t="shared" si="31"/>
      </c>
      <c r="L147" s="48">
        <f t="shared" si="32"/>
      </c>
    </row>
    <row r="148" spans="1:12" ht="12.75">
      <c r="A148" s="6">
        <f t="shared" si="22"/>
        <v>44562</v>
      </c>
      <c r="B148" s="19">
        <f t="shared" si="23"/>
        <v>138</v>
      </c>
      <c r="C148" s="50">
        <f t="shared" si="24"/>
      </c>
      <c r="D148" s="50">
        <f t="shared" si="25"/>
      </c>
      <c r="E148" s="50">
        <f t="shared" si="26"/>
      </c>
      <c r="F148" s="50">
        <f t="shared" si="27"/>
        <v>0</v>
      </c>
      <c r="G148" s="21">
        <f t="shared" si="28"/>
      </c>
      <c r="H148" s="48">
        <f>IF(F147&lt;0.5,"",IF(OR(YEAR(A148)&lt;YEAR(A149),F148&lt;0.5),SUM($G$11:G148)-SUM($H$11:H147),""))</f>
      </c>
      <c r="I148" s="51">
        <f t="shared" si="29"/>
      </c>
      <c r="J148" s="51">
        <f t="shared" si="30"/>
      </c>
      <c r="K148" s="52">
        <f t="shared" si="31"/>
      </c>
      <c r="L148" s="48">
        <f t="shared" si="32"/>
      </c>
    </row>
    <row r="149" spans="1:12" ht="12.75">
      <c r="A149" s="6">
        <f t="shared" si="22"/>
        <v>44593</v>
      </c>
      <c r="B149" s="19">
        <f t="shared" si="23"/>
        <v>139</v>
      </c>
      <c r="C149" s="50">
        <f t="shared" si="24"/>
      </c>
      <c r="D149" s="50">
        <f t="shared" si="25"/>
      </c>
      <c r="E149" s="50">
        <f t="shared" si="26"/>
      </c>
      <c r="F149" s="50">
        <f t="shared" si="27"/>
        <v>0</v>
      </c>
      <c r="G149" s="21">
        <f t="shared" si="28"/>
      </c>
      <c r="H149" s="48">
        <f>IF(F148&lt;0.5,"",IF(OR(YEAR(A149)&lt;YEAR(A150),F149&lt;0.5),SUM($G$11:G149)-SUM($H$11:H148),""))</f>
      </c>
      <c r="I149" s="51">
        <f t="shared" si="29"/>
      </c>
      <c r="J149" s="51">
        <f t="shared" si="30"/>
      </c>
      <c r="K149" s="52">
        <f t="shared" si="31"/>
      </c>
      <c r="L149" s="48">
        <f t="shared" si="32"/>
      </c>
    </row>
    <row r="150" spans="1:12" ht="12.75">
      <c r="A150" s="6">
        <f t="shared" si="22"/>
        <v>44621</v>
      </c>
      <c r="B150" s="19">
        <f t="shared" si="23"/>
        <v>140</v>
      </c>
      <c r="C150" s="50">
        <f t="shared" si="24"/>
      </c>
      <c r="D150" s="50">
        <f t="shared" si="25"/>
      </c>
      <c r="E150" s="50">
        <f t="shared" si="26"/>
      </c>
      <c r="F150" s="50">
        <f t="shared" si="27"/>
        <v>0</v>
      </c>
      <c r="G150" s="21">
        <f t="shared" si="28"/>
      </c>
      <c r="H150" s="48">
        <f>IF(F149&lt;0.5,"",IF(OR(YEAR(A150)&lt;YEAR(A151),F150&lt;0.5),SUM($G$11:G150)-SUM($H$11:H149),""))</f>
      </c>
      <c r="I150" s="51">
        <f t="shared" si="29"/>
      </c>
      <c r="J150" s="51">
        <f t="shared" si="30"/>
      </c>
      <c r="K150" s="52">
        <f t="shared" si="31"/>
      </c>
      <c r="L150" s="48">
        <f t="shared" si="32"/>
      </c>
    </row>
    <row r="151" spans="1:12" ht="12.75">
      <c r="A151" s="6">
        <f t="shared" si="22"/>
        <v>44652</v>
      </c>
      <c r="B151" s="19">
        <f t="shared" si="23"/>
        <v>141</v>
      </c>
      <c r="C151" s="50">
        <f t="shared" si="24"/>
      </c>
      <c r="D151" s="50">
        <f t="shared" si="25"/>
      </c>
      <c r="E151" s="50">
        <f t="shared" si="26"/>
      </c>
      <c r="F151" s="50">
        <f t="shared" si="27"/>
        <v>0</v>
      </c>
      <c r="G151" s="21">
        <f t="shared" si="28"/>
      </c>
      <c r="H151" s="48">
        <f>IF(F150&lt;0.5,"",IF(OR(YEAR(A151)&lt;YEAR(A152),F151&lt;0.5),SUM($G$11:G151)-SUM($H$11:H150),""))</f>
      </c>
      <c r="I151" s="51">
        <f t="shared" si="29"/>
      </c>
      <c r="J151" s="51">
        <f t="shared" si="30"/>
      </c>
      <c r="K151" s="52">
        <f t="shared" si="31"/>
      </c>
      <c r="L151" s="48">
        <f t="shared" si="32"/>
      </c>
    </row>
    <row r="152" spans="1:12" ht="12.75">
      <c r="A152" s="6">
        <f t="shared" si="22"/>
        <v>44682</v>
      </c>
      <c r="B152" s="19">
        <f t="shared" si="23"/>
        <v>142</v>
      </c>
      <c r="C152" s="50">
        <f t="shared" si="24"/>
      </c>
      <c r="D152" s="50">
        <f t="shared" si="25"/>
      </c>
      <c r="E152" s="50">
        <f t="shared" si="26"/>
      </c>
      <c r="F152" s="50">
        <f t="shared" si="27"/>
        <v>0</v>
      </c>
      <c r="G152" s="21">
        <f t="shared" si="28"/>
      </c>
      <c r="H152" s="48">
        <f>IF(F151&lt;0.5,"",IF(OR(YEAR(A152)&lt;YEAR(A153),F152&lt;0.5),SUM($G$11:G152)-SUM($H$11:H151),""))</f>
      </c>
      <c r="I152" s="51">
        <f t="shared" si="29"/>
      </c>
      <c r="J152" s="51">
        <f t="shared" si="30"/>
      </c>
      <c r="K152" s="52">
        <f t="shared" si="31"/>
      </c>
      <c r="L152" s="48">
        <f t="shared" si="32"/>
      </c>
    </row>
    <row r="153" spans="1:12" ht="12.75">
      <c r="A153" s="6">
        <f t="shared" si="22"/>
        <v>44713</v>
      </c>
      <c r="B153" s="19">
        <f t="shared" si="23"/>
        <v>143</v>
      </c>
      <c r="C153" s="50">
        <f t="shared" si="24"/>
      </c>
      <c r="D153" s="50">
        <f t="shared" si="25"/>
      </c>
      <c r="E153" s="50">
        <f t="shared" si="26"/>
      </c>
      <c r="F153" s="50">
        <f t="shared" si="27"/>
        <v>0</v>
      </c>
      <c r="G153" s="21">
        <f t="shared" si="28"/>
      </c>
      <c r="H153" s="48">
        <f>IF(F152&lt;0.5,"",IF(OR(YEAR(A153)&lt;YEAR(A154),F153&lt;0.5),SUM($G$11:G153)-SUM($H$11:H152),""))</f>
      </c>
      <c r="I153" s="51">
        <f t="shared" si="29"/>
      </c>
      <c r="J153" s="51">
        <f t="shared" si="30"/>
      </c>
      <c r="K153" s="52">
        <f t="shared" si="31"/>
      </c>
      <c r="L153" s="48">
        <f t="shared" si="32"/>
      </c>
    </row>
    <row r="154" spans="1:12" ht="12.75">
      <c r="A154" s="6">
        <f t="shared" si="22"/>
        <v>44743</v>
      </c>
      <c r="B154" s="19">
        <f t="shared" si="23"/>
        <v>144</v>
      </c>
      <c r="C154" s="50">
        <f t="shared" si="24"/>
      </c>
      <c r="D154" s="50">
        <f t="shared" si="25"/>
      </c>
      <c r="E154" s="50">
        <f t="shared" si="26"/>
      </c>
      <c r="F154" s="50">
        <f t="shared" si="27"/>
        <v>0</v>
      </c>
      <c r="G154" s="21">
        <f t="shared" si="28"/>
      </c>
      <c r="H154" s="48">
        <f>IF(F153&lt;0.5,"",IF(OR(YEAR(A154)&lt;YEAR(A155),F154&lt;0.5),SUM($G$11:G154)-SUM($H$11:H153),""))</f>
      </c>
      <c r="I154" s="51">
        <f t="shared" si="29"/>
      </c>
      <c r="J154" s="51">
        <f t="shared" si="30"/>
      </c>
      <c r="K154" s="52">
        <f t="shared" si="31"/>
      </c>
      <c r="L154" s="48">
        <f t="shared" si="32"/>
      </c>
    </row>
    <row r="155" spans="1:12" ht="12.75">
      <c r="A155" s="6">
        <f t="shared" si="22"/>
        <v>44774</v>
      </c>
      <c r="B155" s="19">
        <f t="shared" si="23"/>
        <v>145</v>
      </c>
      <c r="C155" s="50">
        <f t="shared" si="24"/>
      </c>
      <c r="D155" s="50">
        <f t="shared" si="25"/>
      </c>
      <c r="E155" s="50">
        <f t="shared" si="26"/>
      </c>
      <c r="F155" s="50">
        <f t="shared" si="27"/>
        <v>0</v>
      </c>
      <c r="G155" s="21">
        <f t="shared" si="28"/>
      </c>
      <c r="H155" s="48">
        <f>IF(F154&lt;0.5,"",IF(OR(YEAR(A155)&lt;YEAR(A156),F155&lt;0.5),SUM($G$11:G155)-SUM($H$11:H154),""))</f>
      </c>
      <c r="I155" s="51">
        <f t="shared" si="29"/>
      </c>
      <c r="J155" s="51">
        <f t="shared" si="30"/>
      </c>
      <c r="K155" s="52">
        <f t="shared" si="31"/>
      </c>
      <c r="L155" s="48">
        <f t="shared" si="32"/>
      </c>
    </row>
    <row r="156" spans="1:12" ht="12.75">
      <c r="A156" s="6">
        <f t="shared" si="22"/>
        <v>44805</v>
      </c>
      <c r="B156" s="19">
        <f t="shared" si="23"/>
        <v>146</v>
      </c>
      <c r="C156" s="50">
        <f t="shared" si="24"/>
      </c>
      <c r="D156" s="50">
        <f t="shared" si="25"/>
      </c>
      <c r="E156" s="50">
        <f t="shared" si="26"/>
      </c>
      <c r="F156" s="50">
        <f t="shared" si="27"/>
        <v>0</v>
      </c>
      <c r="G156" s="21">
        <f t="shared" si="28"/>
      </c>
      <c r="H156" s="48">
        <f>IF(F155&lt;0.5,"",IF(OR(YEAR(A156)&lt;YEAR(A157),F156&lt;0.5),SUM($G$11:G156)-SUM($H$11:H155),""))</f>
      </c>
      <c r="I156" s="51">
        <f t="shared" si="29"/>
      </c>
      <c r="J156" s="51">
        <f t="shared" si="30"/>
      </c>
      <c r="K156" s="52">
        <f t="shared" si="31"/>
      </c>
      <c r="L156" s="48">
        <f t="shared" si="32"/>
      </c>
    </row>
    <row r="157" spans="1:12" ht="12.75">
      <c r="A157" s="6">
        <f t="shared" si="22"/>
        <v>44835</v>
      </c>
      <c r="B157" s="19">
        <f t="shared" si="23"/>
        <v>147</v>
      </c>
      <c r="C157" s="50">
        <f t="shared" si="24"/>
      </c>
      <c r="D157" s="50">
        <f t="shared" si="25"/>
      </c>
      <c r="E157" s="50">
        <f t="shared" si="26"/>
      </c>
      <c r="F157" s="50">
        <f t="shared" si="27"/>
        <v>0</v>
      </c>
      <c r="G157" s="21">
        <f t="shared" si="28"/>
      </c>
      <c r="H157" s="48">
        <f>IF(F156&lt;0.5,"",IF(OR(YEAR(A157)&lt;YEAR(A158),F157&lt;0.5),SUM($G$11:G157)-SUM($H$11:H156),""))</f>
      </c>
      <c r="I157" s="51">
        <f t="shared" si="29"/>
      </c>
      <c r="J157" s="51">
        <f t="shared" si="30"/>
      </c>
      <c r="K157" s="52">
        <f t="shared" si="31"/>
      </c>
      <c r="L157" s="48">
        <f t="shared" si="32"/>
      </c>
    </row>
    <row r="158" spans="1:12" ht="12.75">
      <c r="A158" s="6">
        <f t="shared" si="22"/>
        <v>44866</v>
      </c>
      <c r="B158" s="19">
        <f t="shared" si="23"/>
        <v>148</v>
      </c>
      <c r="C158" s="50">
        <f t="shared" si="24"/>
      </c>
      <c r="D158" s="50">
        <f t="shared" si="25"/>
      </c>
      <c r="E158" s="50">
        <f t="shared" si="26"/>
      </c>
      <c r="F158" s="50">
        <f t="shared" si="27"/>
        <v>0</v>
      </c>
      <c r="G158" s="21">
        <f t="shared" si="28"/>
      </c>
      <c r="H158" s="48">
        <f>IF(F157&lt;0.5,"",IF(OR(YEAR(A158)&lt;YEAR(A159),F158&lt;0.5),SUM($G$11:G158)-SUM($H$11:H157),""))</f>
      </c>
      <c r="I158" s="51">
        <f t="shared" si="29"/>
      </c>
      <c r="J158" s="51">
        <f t="shared" si="30"/>
      </c>
      <c r="K158" s="52">
        <f t="shared" si="31"/>
      </c>
      <c r="L158" s="48">
        <f t="shared" si="32"/>
      </c>
    </row>
    <row r="159" spans="1:12" ht="12.75">
      <c r="A159" s="6">
        <f t="shared" si="22"/>
        <v>44896</v>
      </c>
      <c r="B159" s="19">
        <f t="shared" si="23"/>
        <v>149</v>
      </c>
      <c r="C159" s="50">
        <f t="shared" si="24"/>
      </c>
      <c r="D159" s="50">
        <f t="shared" si="25"/>
      </c>
      <c r="E159" s="50">
        <f t="shared" si="26"/>
      </c>
      <c r="F159" s="50">
        <f t="shared" si="27"/>
        <v>0</v>
      </c>
      <c r="G159" s="21">
        <f t="shared" si="28"/>
      </c>
      <c r="H159" s="48">
        <f>IF(F158&lt;0.5,"",IF(OR(YEAR(A159)&lt;YEAR(A160),F159&lt;0.5),SUM($G$11:G159)-SUM($H$11:H158),""))</f>
      </c>
      <c r="I159" s="51">
        <f t="shared" si="29"/>
      </c>
      <c r="J159" s="51">
        <f t="shared" si="30"/>
      </c>
      <c r="K159" s="52">
        <f t="shared" si="31"/>
      </c>
      <c r="L159" s="48">
        <f t="shared" si="32"/>
      </c>
    </row>
    <row r="160" spans="1:12" ht="12.75">
      <c r="A160" s="6">
        <f t="shared" si="22"/>
        <v>44927</v>
      </c>
      <c r="B160" s="19">
        <f t="shared" si="23"/>
        <v>150</v>
      </c>
      <c r="C160" s="50">
        <f t="shared" si="24"/>
      </c>
      <c r="D160" s="50">
        <f t="shared" si="25"/>
      </c>
      <c r="E160" s="50">
        <f t="shared" si="26"/>
      </c>
      <c r="F160" s="50">
        <f t="shared" si="27"/>
        <v>0</v>
      </c>
      <c r="G160" s="21">
        <f t="shared" si="28"/>
      </c>
      <c r="H160" s="48">
        <f>IF(F159&lt;0.5,"",IF(OR(YEAR(A160)&lt;YEAR(A161),F160&lt;0.5),SUM($G$11:G160)-SUM($H$11:H159),""))</f>
      </c>
      <c r="I160" s="51">
        <f t="shared" si="29"/>
      </c>
      <c r="J160" s="51">
        <f t="shared" si="30"/>
      </c>
      <c r="K160" s="52">
        <f t="shared" si="31"/>
      </c>
      <c r="L160" s="48">
        <f t="shared" si="32"/>
      </c>
    </row>
    <row r="161" spans="1:12" ht="12.75">
      <c r="A161" s="6">
        <f t="shared" si="22"/>
        <v>44958</v>
      </c>
      <c r="B161" s="19">
        <f t="shared" si="23"/>
        <v>151</v>
      </c>
      <c r="C161" s="50">
        <f t="shared" si="24"/>
      </c>
      <c r="D161" s="50">
        <f t="shared" si="25"/>
      </c>
      <c r="E161" s="50">
        <f t="shared" si="26"/>
      </c>
      <c r="F161" s="50">
        <f t="shared" si="27"/>
        <v>0</v>
      </c>
      <c r="G161" s="21">
        <f t="shared" si="28"/>
      </c>
      <c r="H161" s="48">
        <f>IF(F160&lt;0.5,"",IF(OR(YEAR(A161)&lt;YEAR(A162),F161&lt;0.5),SUM($G$11:G161)-SUM($H$11:H160),""))</f>
      </c>
      <c r="I161" s="51">
        <f t="shared" si="29"/>
      </c>
      <c r="J161" s="51">
        <f t="shared" si="30"/>
      </c>
      <c r="K161" s="52">
        <f t="shared" si="31"/>
      </c>
      <c r="L161" s="48">
        <f t="shared" si="32"/>
      </c>
    </row>
    <row r="162" spans="1:12" ht="12.75">
      <c r="A162" s="6">
        <f t="shared" si="22"/>
        <v>44986</v>
      </c>
      <c r="B162" s="19">
        <f t="shared" si="23"/>
        <v>152</v>
      </c>
      <c r="C162" s="50">
        <f t="shared" si="24"/>
      </c>
      <c r="D162" s="50">
        <f t="shared" si="25"/>
      </c>
      <c r="E162" s="50">
        <f t="shared" si="26"/>
      </c>
      <c r="F162" s="50">
        <f t="shared" si="27"/>
        <v>0</v>
      </c>
      <c r="G162" s="21">
        <f t="shared" si="28"/>
      </c>
      <c r="H162" s="48">
        <f>IF(F161&lt;0.5,"",IF(OR(YEAR(A162)&lt;YEAR(A163),F162&lt;0.5),SUM($G$11:G162)-SUM($H$11:H161),""))</f>
      </c>
      <c r="I162" s="51">
        <f t="shared" si="29"/>
      </c>
      <c r="J162" s="51">
        <f t="shared" si="30"/>
      </c>
      <c r="K162" s="52">
        <f t="shared" si="31"/>
      </c>
      <c r="L162" s="48">
        <f t="shared" si="32"/>
      </c>
    </row>
    <row r="163" spans="1:12" ht="12.75">
      <c r="A163" s="6">
        <f t="shared" si="22"/>
        <v>45017</v>
      </c>
      <c r="B163" s="19">
        <f t="shared" si="23"/>
        <v>153</v>
      </c>
      <c r="C163" s="50">
        <f t="shared" si="24"/>
      </c>
      <c r="D163" s="50">
        <f t="shared" si="25"/>
      </c>
      <c r="E163" s="50">
        <f t="shared" si="26"/>
      </c>
      <c r="F163" s="50">
        <f t="shared" si="27"/>
        <v>0</v>
      </c>
      <c r="G163" s="21">
        <f t="shared" si="28"/>
      </c>
      <c r="H163" s="48">
        <f>IF(F162&lt;0.5,"",IF(OR(YEAR(A163)&lt;YEAR(A164),F163&lt;0.5),SUM($G$11:G163)-SUM($H$11:H162),""))</f>
      </c>
      <c r="I163" s="51">
        <f t="shared" si="29"/>
      </c>
      <c r="J163" s="51">
        <f t="shared" si="30"/>
      </c>
      <c r="K163" s="52">
        <f t="shared" si="31"/>
      </c>
      <c r="L163" s="48">
        <f t="shared" si="32"/>
      </c>
    </row>
    <row r="164" spans="1:12" ht="12.75">
      <c r="A164" s="6">
        <f t="shared" si="22"/>
        <v>45047</v>
      </c>
      <c r="B164" s="19">
        <f t="shared" si="23"/>
        <v>154</v>
      </c>
      <c r="C164" s="50">
        <f t="shared" si="24"/>
      </c>
      <c r="D164" s="50">
        <f t="shared" si="25"/>
      </c>
      <c r="E164" s="50">
        <f t="shared" si="26"/>
      </c>
      <c r="F164" s="50">
        <f t="shared" si="27"/>
        <v>0</v>
      </c>
      <c r="G164" s="21">
        <f t="shared" si="28"/>
      </c>
      <c r="H164" s="48">
        <f>IF(F163&lt;0.5,"",IF(OR(YEAR(A164)&lt;YEAR(A165),F164&lt;0.5),SUM($G$11:G164)-SUM($H$11:H163),""))</f>
      </c>
      <c r="I164" s="51">
        <f t="shared" si="29"/>
      </c>
      <c r="J164" s="51">
        <f t="shared" si="30"/>
      </c>
      <c r="K164" s="52">
        <f t="shared" si="31"/>
      </c>
      <c r="L164" s="48">
        <f t="shared" si="32"/>
      </c>
    </row>
    <row r="165" spans="1:12" ht="12.75">
      <c r="A165" s="6">
        <f t="shared" si="22"/>
        <v>45078</v>
      </c>
      <c r="B165" s="19">
        <f t="shared" si="23"/>
        <v>155</v>
      </c>
      <c r="C165" s="50">
        <f t="shared" si="24"/>
      </c>
      <c r="D165" s="50">
        <f t="shared" si="25"/>
      </c>
      <c r="E165" s="50">
        <f t="shared" si="26"/>
      </c>
      <c r="F165" s="50">
        <f t="shared" si="27"/>
        <v>0</v>
      </c>
      <c r="G165" s="21">
        <f t="shared" si="28"/>
      </c>
      <c r="H165" s="48">
        <f>IF(F164&lt;0.5,"",IF(OR(YEAR(A165)&lt;YEAR(A166),F165&lt;0.5),SUM($G$11:G165)-SUM($H$11:H164),""))</f>
      </c>
      <c r="I165" s="51">
        <f t="shared" si="29"/>
      </c>
      <c r="J165" s="51">
        <f t="shared" si="30"/>
      </c>
      <c r="K165" s="52">
        <f t="shared" si="31"/>
      </c>
      <c r="L165" s="48">
        <f t="shared" si="32"/>
      </c>
    </row>
    <row r="166" spans="1:12" ht="12.75">
      <c r="A166" s="6">
        <f t="shared" si="22"/>
        <v>45108</v>
      </c>
      <c r="B166" s="19">
        <f t="shared" si="23"/>
        <v>156</v>
      </c>
      <c r="C166" s="50">
        <f t="shared" si="24"/>
      </c>
      <c r="D166" s="50">
        <f t="shared" si="25"/>
      </c>
      <c r="E166" s="50">
        <f t="shared" si="26"/>
      </c>
      <c r="F166" s="50">
        <f t="shared" si="27"/>
        <v>0</v>
      </c>
      <c r="G166" s="21">
        <f t="shared" si="28"/>
      </c>
      <c r="H166" s="48">
        <f>IF(F165&lt;0.5,"",IF(OR(YEAR(A166)&lt;YEAR(A167),F166&lt;0.5),SUM($G$11:G166)-SUM($H$11:H165),""))</f>
      </c>
      <c r="I166" s="51">
        <f t="shared" si="29"/>
      </c>
      <c r="J166" s="51">
        <f t="shared" si="30"/>
      </c>
      <c r="K166" s="52">
        <f t="shared" si="31"/>
      </c>
      <c r="L166" s="48">
        <f t="shared" si="32"/>
      </c>
    </row>
    <row r="167" spans="1:12" ht="12.75">
      <c r="A167" s="6">
        <f t="shared" si="22"/>
        <v>45139</v>
      </c>
      <c r="B167" s="19">
        <f t="shared" si="23"/>
        <v>157</v>
      </c>
      <c r="C167" s="50">
        <f t="shared" si="24"/>
      </c>
      <c r="D167" s="50">
        <f t="shared" si="25"/>
      </c>
      <c r="E167" s="50">
        <f t="shared" si="26"/>
      </c>
      <c r="F167" s="50">
        <f t="shared" si="27"/>
        <v>0</v>
      </c>
      <c r="G167" s="21">
        <f t="shared" si="28"/>
      </c>
      <c r="H167" s="48">
        <f>IF(F166&lt;0.5,"",IF(OR(YEAR(A167)&lt;YEAR(A168),F167&lt;0.5),SUM($G$11:G167)-SUM($H$11:H166),""))</f>
      </c>
      <c r="I167" s="51">
        <f t="shared" si="29"/>
      </c>
      <c r="J167" s="51">
        <f t="shared" si="30"/>
      </c>
      <c r="K167" s="52">
        <f t="shared" si="31"/>
      </c>
      <c r="L167" s="48">
        <f t="shared" si="32"/>
      </c>
    </row>
    <row r="168" spans="1:12" ht="12.75">
      <c r="A168" s="6">
        <f t="shared" si="22"/>
        <v>45170</v>
      </c>
      <c r="B168" s="19">
        <f t="shared" si="23"/>
        <v>158</v>
      </c>
      <c r="C168" s="50">
        <f t="shared" si="24"/>
      </c>
      <c r="D168" s="50">
        <f t="shared" si="25"/>
      </c>
      <c r="E168" s="50">
        <f t="shared" si="26"/>
      </c>
      <c r="F168" s="50">
        <f t="shared" si="27"/>
        <v>0</v>
      </c>
      <c r="G168" s="21">
        <f t="shared" si="28"/>
      </c>
      <c r="H168" s="48">
        <f>IF(F167&lt;0.5,"",IF(OR(YEAR(A168)&lt;YEAR(A169),F168&lt;0.5),SUM($G$11:G168)-SUM($H$11:H167),""))</f>
      </c>
      <c r="I168" s="51">
        <f t="shared" si="29"/>
      </c>
      <c r="J168" s="51">
        <f t="shared" si="30"/>
      </c>
      <c r="K168" s="52">
        <f t="shared" si="31"/>
      </c>
      <c r="L168" s="48">
        <f t="shared" si="32"/>
      </c>
    </row>
    <row r="169" spans="1:12" ht="12.75">
      <c r="A169" s="6">
        <f t="shared" si="22"/>
        <v>45200</v>
      </c>
      <c r="B169" s="19">
        <f t="shared" si="23"/>
        <v>159</v>
      </c>
      <c r="C169" s="50">
        <f t="shared" si="24"/>
      </c>
      <c r="D169" s="50">
        <f t="shared" si="25"/>
      </c>
      <c r="E169" s="50">
        <f t="shared" si="26"/>
      </c>
      <c r="F169" s="50">
        <f t="shared" si="27"/>
        <v>0</v>
      </c>
      <c r="G169" s="21">
        <f t="shared" si="28"/>
      </c>
      <c r="H169" s="48">
        <f>IF(F168&lt;0.5,"",IF(OR(YEAR(A169)&lt;YEAR(A170),F169&lt;0.5),SUM($G$11:G169)-SUM($H$11:H168),""))</f>
      </c>
      <c r="I169" s="51">
        <f t="shared" si="29"/>
      </c>
      <c r="J169" s="51">
        <f t="shared" si="30"/>
      </c>
      <c r="K169" s="52">
        <f t="shared" si="31"/>
      </c>
      <c r="L169" s="48">
        <f t="shared" si="32"/>
      </c>
    </row>
    <row r="170" spans="1:12" ht="12.75">
      <c r="A170" s="6">
        <f t="shared" si="22"/>
        <v>45231</v>
      </c>
      <c r="B170" s="19">
        <f t="shared" si="23"/>
        <v>160</v>
      </c>
      <c r="C170" s="50">
        <f t="shared" si="24"/>
      </c>
      <c r="D170" s="50">
        <f t="shared" si="25"/>
      </c>
      <c r="E170" s="50">
        <f t="shared" si="26"/>
      </c>
      <c r="F170" s="50">
        <f t="shared" si="27"/>
        <v>0</v>
      </c>
      <c r="G170" s="21">
        <f t="shared" si="28"/>
      </c>
      <c r="H170" s="48">
        <f>IF(F169&lt;0.5,"",IF(OR(YEAR(A170)&lt;YEAR(A171),F170&lt;0.5),SUM($G$11:G170)-SUM($H$11:H169),""))</f>
      </c>
      <c r="I170" s="51">
        <f t="shared" si="29"/>
      </c>
      <c r="J170" s="51">
        <f t="shared" si="30"/>
      </c>
      <c r="K170" s="52">
        <f t="shared" si="31"/>
      </c>
      <c r="L170" s="48">
        <f t="shared" si="32"/>
      </c>
    </row>
    <row r="171" spans="1:12" ht="12.75">
      <c r="A171" s="6">
        <f t="shared" si="22"/>
        <v>45261</v>
      </c>
      <c r="B171" s="19">
        <f t="shared" si="23"/>
        <v>161</v>
      </c>
      <c r="C171" s="50">
        <f t="shared" si="24"/>
      </c>
      <c r="D171" s="50">
        <f t="shared" si="25"/>
      </c>
      <c r="E171" s="50">
        <f t="shared" si="26"/>
      </c>
      <c r="F171" s="50">
        <f t="shared" si="27"/>
        <v>0</v>
      </c>
      <c r="G171" s="21">
        <f t="shared" si="28"/>
      </c>
      <c r="H171" s="48">
        <f>IF(F170&lt;0.5,"",IF(OR(YEAR(A171)&lt;YEAR(A172),F171&lt;0.5),SUM($G$11:G171)-SUM($H$11:H170),""))</f>
      </c>
      <c r="I171" s="51">
        <f t="shared" si="29"/>
      </c>
      <c r="J171" s="51">
        <f t="shared" si="30"/>
      </c>
      <c r="K171" s="52">
        <f t="shared" si="31"/>
      </c>
      <c r="L171" s="48">
        <f t="shared" si="32"/>
      </c>
    </row>
    <row r="172" spans="1:12" ht="12.75">
      <c r="A172" s="6">
        <f t="shared" si="22"/>
        <v>45292</v>
      </c>
      <c r="B172" s="19">
        <f t="shared" si="23"/>
        <v>162</v>
      </c>
      <c r="C172" s="50">
        <f t="shared" si="24"/>
      </c>
      <c r="D172" s="50">
        <f t="shared" si="25"/>
      </c>
      <c r="E172" s="50">
        <f t="shared" si="26"/>
      </c>
      <c r="F172" s="50">
        <f t="shared" si="27"/>
        <v>0</v>
      </c>
      <c r="G172" s="21">
        <f t="shared" si="28"/>
      </c>
      <c r="H172" s="48">
        <f>IF(F171&lt;0.5,"",IF(OR(YEAR(A172)&lt;YEAR(A173),F172&lt;0.5),SUM($G$11:G172)-SUM($H$11:H171),""))</f>
      </c>
      <c r="I172" s="51">
        <f t="shared" si="29"/>
      </c>
      <c r="J172" s="51">
        <f t="shared" si="30"/>
      </c>
      <c r="K172" s="52">
        <f t="shared" si="31"/>
      </c>
      <c r="L172" s="48">
        <f t="shared" si="32"/>
      </c>
    </row>
    <row r="173" spans="1:12" ht="12.75">
      <c r="A173" s="6">
        <f t="shared" si="22"/>
        <v>45323</v>
      </c>
      <c r="B173" s="19">
        <f t="shared" si="23"/>
        <v>163</v>
      </c>
      <c r="C173" s="50">
        <f t="shared" si="24"/>
      </c>
      <c r="D173" s="50">
        <f t="shared" si="25"/>
      </c>
      <c r="E173" s="50">
        <f t="shared" si="26"/>
      </c>
      <c r="F173" s="50">
        <f t="shared" si="27"/>
        <v>0</v>
      </c>
      <c r="G173" s="21">
        <f t="shared" si="28"/>
      </c>
      <c r="H173" s="48">
        <f>IF(F172&lt;0.5,"",IF(OR(YEAR(A173)&lt;YEAR(A174),F173&lt;0.5),SUM($G$11:G173)-SUM($H$11:H172),""))</f>
      </c>
      <c r="I173" s="51">
        <f t="shared" si="29"/>
      </c>
      <c r="J173" s="51">
        <f t="shared" si="30"/>
      </c>
      <c r="K173" s="52">
        <f t="shared" si="31"/>
      </c>
      <c r="L173" s="48">
        <f t="shared" si="32"/>
      </c>
    </row>
    <row r="174" spans="1:12" ht="12.75">
      <c r="A174" s="6">
        <f t="shared" si="22"/>
        <v>45352</v>
      </c>
      <c r="B174" s="19">
        <f t="shared" si="23"/>
        <v>164</v>
      </c>
      <c r="C174" s="50">
        <f t="shared" si="24"/>
      </c>
      <c r="D174" s="50">
        <f t="shared" si="25"/>
      </c>
      <c r="E174" s="50">
        <f t="shared" si="26"/>
      </c>
      <c r="F174" s="50">
        <f t="shared" si="27"/>
        <v>0</v>
      </c>
      <c r="G174" s="21">
        <f t="shared" si="28"/>
      </c>
      <c r="H174" s="48">
        <f>IF(F173&lt;0.5,"",IF(OR(YEAR(A174)&lt;YEAR(A175),F174&lt;0.5),SUM($G$11:G174)-SUM($H$11:H173),""))</f>
      </c>
      <c r="I174" s="51">
        <f t="shared" si="29"/>
      </c>
      <c r="J174" s="51">
        <f t="shared" si="30"/>
      </c>
      <c r="K174" s="52">
        <f t="shared" si="31"/>
      </c>
      <c r="L174" s="48">
        <f t="shared" si="32"/>
      </c>
    </row>
    <row r="175" spans="1:12" ht="12.75">
      <c r="A175" s="6">
        <f t="shared" si="22"/>
        <v>45383</v>
      </c>
      <c r="B175" s="19">
        <f t="shared" si="23"/>
        <v>165</v>
      </c>
      <c r="C175" s="50">
        <f t="shared" si="24"/>
      </c>
      <c r="D175" s="50">
        <f t="shared" si="25"/>
      </c>
      <c r="E175" s="50">
        <f t="shared" si="26"/>
      </c>
      <c r="F175" s="50">
        <f t="shared" si="27"/>
        <v>0</v>
      </c>
      <c r="G175" s="21">
        <f t="shared" si="28"/>
      </c>
      <c r="H175" s="48">
        <f>IF(F174&lt;0.5,"",IF(OR(YEAR(A175)&lt;YEAR(A176),F175&lt;0.5),SUM($G$11:G175)-SUM($H$11:H174),""))</f>
      </c>
      <c r="I175" s="51">
        <f t="shared" si="29"/>
      </c>
      <c r="J175" s="51">
        <f t="shared" si="30"/>
      </c>
      <c r="K175" s="52">
        <f t="shared" si="31"/>
      </c>
      <c r="L175" s="48">
        <f t="shared" si="32"/>
      </c>
    </row>
    <row r="176" spans="1:12" ht="12.75">
      <c r="A176" s="6">
        <f t="shared" si="22"/>
        <v>45413</v>
      </c>
      <c r="B176" s="19">
        <f t="shared" si="23"/>
        <v>166</v>
      </c>
      <c r="C176" s="50">
        <f t="shared" si="24"/>
      </c>
      <c r="D176" s="50">
        <f t="shared" si="25"/>
      </c>
      <c r="E176" s="50">
        <f t="shared" si="26"/>
      </c>
      <c r="F176" s="50">
        <f t="shared" si="27"/>
        <v>0</v>
      </c>
      <c r="G176" s="21">
        <f t="shared" si="28"/>
      </c>
      <c r="H176" s="48">
        <f>IF(F175&lt;0.5,"",IF(OR(YEAR(A176)&lt;YEAR(A177),F176&lt;0.5),SUM($G$11:G176)-SUM($H$11:H175),""))</f>
      </c>
      <c r="I176" s="51">
        <f t="shared" si="29"/>
      </c>
      <c r="J176" s="51">
        <f t="shared" si="30"/>
      </c>
      <c r="K176" s="52">
        <f t="shared" si="31"/>
      </c>
      <c r="L176" s="48">
        <f t="shared" si="32"/>
      </c>
    </row>
    <row r="177" spans="1:12" ht="12.75">
      <c r="A177" s="6">
        <f t="shared" si="22"/>
        <v>45444</v>
      </c>
      <c r="B177" s="19">
        <f t="shared" si="23"/>
        <v>167</v>
      </c>
      <c r="C177" s="50">
        <f t="shared" si="24"/>
      </c>
      <c r="D177" s="50">
        <f t="shared" si="25"/>
      </c>
      <c r="E177" s="50">
        <f t="shared" si="26"/>
      </c>
      <c r="F177" s="50">
        <f t="shared" si="27"/>
        <v>0</v>
      </c>
      <c r="G177" s="21">
        <f t="shared" si="28"/>
      </c>
      <c r="H177" s="48">
        <f>IF(F176&lt;0.5,"",IF(OR(YEAR(A177)&lt;YEAR(A178),F177&lt;0.5),SUM($G$11:G177)-SUM($H$11:H176),""))</f>
      </c>
      <c r="I177" s="51">
        <f t="shared" si="29"/>
      </c>
      <c r="J177" s="51">
        <f t="shared" si="30"/>
      </c>
      <c r="K177" s="52">
        <f t="shared" si="31"/>
      </c>
      <c r="L177" s="48">
        <f t="shared" si="32"/>
      </c>
    </row>
    <row r="178" spans="1:12" ht="12.75">
      <c r="A178" s="6">
        <f t="shared" si="22"/>
        <v>45474</v>
      </c>
      <c r="B178" s="19">
        <f t="shared" si="23"/>
        <v>168</v>
      </c>
      <c r="C178" s="50">
        <f t="shared" si="24"/>
      </c>
      <c r="D178" s="50">
        <f t="shared" si="25"/>
      </c>
      <c r="E178" s="50">
        <f t="shared" si="26"/>
      </c>
      <c r="F178" s="50">
        <f t="shared" si="27"/>
        <v>0</v>
      </c>
      <c r="G178" s="21">
        <f t="shared" si="28"/>
      </c>
      <c r="H178" s="48">
        <f>IF(F177&lt;0.5,"",IF(OR(YEAR(A178)&lt;YEAR(A179),F178&lt;0.5),SUM($G$11:G178)-SUM($H$11:H177),""))</f>
      </c>
      <c r="I178" s="51">
        <f t="shared" si="29"/>
      </c>
      <c r="J178" s="51">
        <f t="shared" si="30"/>
      </c>
      <c r="K178" s="52">
        <f t="shared" si="31"/>
      </c>
      <c r="L178" s="48">
        <f t="shared" si="32"/>
      </c>
    </row>
    <row r="179" spans="1:12" ht="12.75">
      <c r="A179" s="6">
        <f t="shared" si="22"/>
        <v>45505</v>
      </c>
      <c r="B179" s="19">
        <f t="shared" si="23"/>
        <v>169</v>
      </c>
      <c r="C179" s="50">
        <f t="shared" si="24"/>
      </c>
      <c r="D179" s="50">
        <f t="shared" si="25"/>
      </c>
      <c r="E179" s="50">
        <f t="shared" si="26"/>
      </c>
      <c r="F179" s="50">
        <f t="shared" si="27"/>
        <v>0</v>
      </c>
      <c r="G179" s="21">
        <f t="shared" si="28"/>
      </c>
      <c r="H179" s="48">
        <f>IF(F178&lt;0.5,"",IF(OR(YEAR(A179)&lt;YEAR(A180),F179&lt;0.5),SUM($G$11:G179)-SUM($H$11:H178),""))</f>
      </c>
      <c r="I179" s="51">
        <f t="shared" si="29"/>
      </c>
      <c r="J179" s="51">
        <f t="shared" si="30"/>
      </c>
      <c r="K179" s="52">
        <f t="shared" si="31"/>
      </c>
      <c r="L179" s="48">
        <f t="shared" si="32"/>
      </c>
    </row>
    <row r="180" spans="1:12" ht="12.75">
      <c r="A180" s="6">
        <f t="shared" si="22"/>
        <v>45536</v>
      </c>
      <c r="B180" s="19">
        <f t="shared" si="23"/>
        <v>170</v>
      </c>
      <c r="C180" s="50">
        <f t="shared" si="24"/>
      </c>
      <c r="D180" s="50">
        <f t="shared" si="25"/>
      </c>
      <c r="E180" s="50">
        <f t="shared" si="26"/>
      </c>
      <c r="F180" s="50">
        <f t="shared" si="27"/>
        <v>0</v>
      </c>
      <c r="G180" s="21">
        <f t="shared" si="28"/>
      </c>
      <c r="H180" s="48">
        <f>IF(F179&lt;0.5,"",IF(OR(YEAR(A180)&lt;YEAR(A181),F180&lt;0.5),SUM($G$11:G180)-SUM($H$11:H179),""))</f>
      </c>
      <c r="I180" s="51">
        <f t="shared" si="29"/>
      </c>
      <c r="J180" s="51">
        <f t="shared" si="30"/>
      </c>
      <c r="K180" s="52">
        <f t="shared" si="31"/>
      </c>
      <c r="L180" s="48">
        <f t="shared" si="32"/>
      </c>
    </row>
    <row r="181" spans="1:12" ht="12.75">
      <c r="A181" s="6">
        <f t="shared" si="22"/>
        <v>45566</v>
      </c>
      <c r="B181" s="19">
        <f t="shared" si="23"/>
        <v>171</v>
      </c>
      <c r="C181" s="50">
        <f t="shared" si="24"/>
      </c>
      <c r="D181" s="50">
        <f t="shared" si="25"/>
      </c>
      <c r="E181" s="50">
        <f t="shared" si="26"/>
      </c>
      <c r="F181" s="50">
        <f t="shared" si="27"/>
        <v>0</v>
      </c>
      <c r="G181" s="21">
        <f t="shared" si="28"/>
      </c>
      <c r="H181" s="48">
        <f>IF(F180&lt;0.5,"",IF(OR(YEAR(A181)&lt;YEAR(A182),F181&lt;0.5),SUM($G$11:G181)-SUM($H$11:H180),""))</f>
      </c>
      <c r="I181" s="51">
        <f t="shared" si="29"/>
      </c>
      <c r="J181" s="51">
        <f t="shared" si="30"/>
      </c>
      <c r="K181" s="52">
        <f t="shared" si="31"/>
      </c>
      <c r="L181" s="48">
        <f t="shared" si="32"/>
      </c>
    </row>
    <row r="182" spans="1:12" ht="12.75">
      <c r="A182" s="6">
        <f t="shared" si="22"/>
        <v>45597</v>
      </c>
      <c r="B182" s="19">
        <f t="shared" si="23"/>
        <v>172</v>
      </c>
      <c r="C182" s="50">
        <f t="shared" si="24"/>
      </c>
      <c r="D182" s="50">
        <f t="shared" si="25"/>
      </c>
      <c r="E182" s="50">
        <f t="shared" si="26"/>
      </c>
      <c r="F182" s="50">
        <f t="shared" si="27"/>
        <v>0</v>
      </c>
      <c r="G182" s="21">
        <f t="shared" si="28"/>
      </c>
      <c r="H182" s="48">
        <f>IF(F181&lt;0.5,"",IF(OR(YEAR(A182)&lt;YEAR(A183),F182&lt;0.5),SUM($G$11:G182)-SUM($H$11:H181),""))</f>
      </c>
      <c r="I182" s="51">
        <f t="shared" si="29"/>
      </c>
      <c r="J182" s="51">
        <f t="shared" si="30"/>
      </c>
      <c r="K182" s="52">
        <f t="shared" si="31"/>
      </c>
      <c r="L182" s="48">
        <f t="shared" si="32"/>
      </c>
    </row>
    <row r="183" spans="1:12" ht="12.75">
      <c r="A183" s="6">
        <f t="shared" si="22"/>
        <v>45627</v>
      </c>
      <c r="B183" s="19">
        <f t="shared" si="23"/>
        <v>173</v>
      </c>
      <c r="C183" s="50">
        <f t="shared" si="24"/>
      </c>
      <c r="D183" s="50">
        <f t="shared" si="25"/>
      </c>
      <c r="E183" s="50">
        <f t="shared" si="26"/>
      </c>
      <c r="F183" s="50">
        <f t="shared" si="27"/>
        <v>0</v>
      </c>
      <c r="G183" s="21">
        <f t="shared" si="28"/>
      </c>
      <c r="H183" s="48">
        <f>IF(F182&lt;0.5,"",IF(OR(YEAR(A183)&lt;YEAR(A184),F183&lt;0.5),SUM($G$11:G183)-SUM($H$11:H182),""))</f>
      </c>
      <c r="I183" s="51">
        <f t="shared" si="29"/>
      </c>
      <c r="J183" s="51">
        <f t="shared" si="30"/>
      </c>
      <c r="K183" s="52">
        <f t="shared" si="31"/>
      </c>
      <c r="L183" s="48">
        <f t="shared" si="32"/>
      </c>
    </row>
    <row r="184" spans="1:12" ht="12.75">
      <c r="A184" s="6">
        <f t="shared" si="22"/>
        <v>45658</v>
      </c>
      <c r="B184" s="19">
        <f t="shared" si="23"/>
        <v>174</v>
      </c>
      <c r="C184" s="50">
        <f t="shared" si="24"/>
      </c>
      <c r="D184" s="50">
        <f t="shared" si="25"/>
      </c>
      <c r="E184" s="50">
        <f t="shared" si="26"/>
      </c>
      <c r="F184" s="50">
        <f t="shared" si="27"/>
        <v>0</v>
      </c>
      <c r="G184" s="21">
        <f t="shared" si="28"/>
      </c>
      <c r="H184" s="48">
        <f>IF(F183&lt;0.5,"",IF(OR(YEAR(A184)&lt;YEAR(A185),F184&lt;0.5),SUM($G$11:G184)-SUM($H$11:H183),""))</f>
      </c>
      <c r="I184" s="51">
        <f t="shared" si="29"/>
      </c>
      <c r="J184" s="51">
        <f t="shared" si="30"/>
      </c>
      <c r="K184" s="52">
        <f t="shared" si="31"/>
      </c>
      <c r="L184" s="48">
        <f t="shared" si="32"/>
      </c>
    </row>
    <row r="185" spans="1:12" ht="12.75">
      <c r="A185" s="6">
        <f t="shared" si="22"/>
        <v>45689</v>
      </c>
      <c r="B185" s="19">
        <f t="shared" si="23"/>
        <v>175</v>
      </c>
      <c r="C185" s="50">
        <f t="shared" si="24"/>
      </c>
      <c r="D185" s="50">
        <f t="shared" si="25"/>
      </c>
      <c r="E185" s="50">
        <f t="shared" si="26"/>
      </c>
      <c r="F185" s="50">
        <f t="shared" si="27"/>
        <v>0</v>
      </c>
      <c r="G185" s="21">
        <f t="shared" si="28"/>
      </c>
      <c r="H185" s="48">
        <f>IF(F184&lt;0.5,"",IF(OR(YEAR(A185)&lt;YEAR(A186),F185&lt;0.5),SUM($G$11:G185)-SUM($H$11:H184),""))</f>
      </c>
      <c r="I185" s="51">
        <f t="shared" si="29"/>
      </c>
      <c r="J185" s="51">
        <f t="shared" si="30"/>
      </c>
      <c r="K185" s="52">
        <f t="shared" si="31"/>
      </c>
      <c r="L185" s="48">
        <f t="shared" si="32"/>
      </c>
    </row>
    <row r="186" spans="1:12" ht="12.75">
      <c r="A186" s="6">
        <f t="shared" si="22"/>
        <v>45717</v>
      </c>
      <c r="B186" s="19">
        <f t="shared" si="23"/>
        <v>176</v>
      </c>
      <c r="C186" s="50">
        <f t="shared" si="24"/>
      </c>
      <c r="D186" s="50">
        <f t="shared" si="25"/>
      </c>
      <c r="E186" s="50">
        <f t="shared" si="26"/>
      </c>
      <c r="F186" s="50">
        <f t="shared" si="27"/>
        <v>0</v>
      </c>
      <c r="G186" s="21">
        <f t="shared" si="28"/>
      </c>
      <c r="H186" s="48">
        <f>IF(F185&lt;0.5,"",IF(OR(YEAR(A186)&lt;YEAR(A187),F186&lt;0.5),SUM($G$11:G186)-SUM($H$11:H185),""))</f>
      </c>
      <c r="I186" s="51">
        <f t="shared" si="29"/>
      </c>
      <c r="J186" s="51">
        <f t="shared" si="30"/>
      </c>
      <c r="K186" s="52">
        <f t="shared" si="31"/>
      </c>
      <c r="L186" s="48">
        <f t="shared" si="32"/>
      </c>
    </row>
    <row r="187" spans="1:12" ht="12.75">
      <c r="A187" s="6">
        <f t="shared" si="22"/>
        <v>45748</v>
      </c>
      <c r="B187" s="19">
        <f t="shared" si="23"/>
        <v>177</v>
      </c>
      <c r="C187" s="50">
        <f t="shared" si="24"/>
      </c>
      <c r="D187" s="50">
        <f t="shared" si="25"/>
      </c>
      <c r="E187" s="50">
        <f t="shared" si="26"/>
      </c>
      <c r="F187" s="50">
        <f t="shared" si="27"/>
        <v>0</v>
      </c>
      <c r="G187" s="21">
        <f t="shared" si="28"/>
      </c>
      <c r="H187" s="48">
        <f>IF(F186&lt;0.5,"",IF(OR(YEAR(A187)&lt;YEAR(A188),F187&lt;0.5),SUM($G$11:G187)-SUM($H$11:H186),""))</f>
      </c>
      <c r="I187" s="51">
        <f t="shared" si="29"/>
      </c>
      <c r="J187" s="51">
        <f t="shared" si="30"/>
      </c>
      <c r="K187" s="52">
        <f t="shared" si="31"/>
      </c>
      <c r="L187" s="48">
        <f t="shared" si="32"/>
      </c>
    </row>
    <row r="188" spans="1:12" ht="12.75">
      <c r="A188" s="6">
        <f t="shared" si="22"/>
        <v>45778</v>
      </c>
      <c r="B188" s="19">
        <f t="shared" si="23"/>
        <v>178</v>
      </c>
      <c r="C188" s="50">
        <f t="shared" si="24"/>
      </c>
      <c r="D188" s="50">
        <f t="shared" si="25"/>
      </c>
      <c r="E188" s="50">
        <f t="shared" si="26"/>
      </c>
      <c r="F188" s="50">
        <f t="shared" si="27"/>
        <v>0</v>
      </c>
      <c r="G188" s="21">
        <f t="shared" si="28"/>
      </c>
      <c r="H188" s="48">
        <f>IF(F187&lt;0.5,"",IF(OR(YEAR(A188)&lt;YEAR(A189),F188&lt;0.5),SUM($G$11:G188)-SUM($H$11:H187),""))</f>
      </c>
      <c r="I188" s="51">
        <f t="shared" si="29"/>
      </c>
      <c r="J188" s="51">
        <f t="shared" si="30"/>
      </c>
      <c r="K188" s="52">
        <f t="shared" si="31"/>
      </c>
      <c r="L188" s="48">
        <f t="shared" si="32"/>
      </c>
    </row>
    <row r="189" spans="1:12" ht="12.75">
      <c r="A189" s="6">
        <f t="shared" si="22"/>
        <v>45809</v>
      </c>
      <c r="B189" s="19">
        <f t="shared" si="23"/>
        <v>179</v>
      </c>
      <c r="C189" s="50">
        <f t="shared" si="24"/>
      </c>
      <c r="D189" s="50">
        <f t="shared" si="25"/>
      </c>
      <c r="E189" s="50">
        <f t="shared" si="26"/>
      </c>
      <c r="F189" s="50">
        <f t="shared" si="27"/>
        <v>0</v>
      </c>
      <c r="G189" s="21">
        <f t="shared" si="28"/>
      </c>
      <c r="H189" s="48">
        <f>IF(F188&lt;0.5,"",IF(OR(YEAR(A189)&lt;YEAR(A190),F189&lt;0.5),SUM($G$11:G189)-SUM($H$11:H188),""))</f>
      </c>
      <c r="I189" s="51">
        <f t="shared" si="29"/>
      </c>
      <c r="J189" s="51">
        <f t="shared" si="30"/>
      </c>
      <c r="K189" s="52">
        <f t="shared" si="31"/>
      </c>
      <c r="L189" s="48">
        <f t="shared" si="32"/>
      </c>
    </row>
    <row r="190" spans="1:12" ht="12.75">
      <c r="A190" s="6">
        <f t="shared" si="22"/>
        <v>45839</v>
      </c>
      <c r="B190" s="19">
        <f t="shared" si="23"/>
        <v>180</v>
      </c>
      <c r="C190" s="50">
        <f t="shared" si="24"/>
      </c>
      <c r="D190" s="50">
        <f t="shared" si="25"/>
      </c>
      <c r="E190" s="50">
        <f t="shared" si="26"/>
      </c>
      <c r="F190" s="50">
        <f t="shared" si="27"/>
        <v>0</v>
      </c>
      <c r="G190" s="21">
        <f t="shared" si="28"/>
      </c>
      <c r="H190" s="48">
        <f>IF(F189&lt;0.5,"",IF(OR(YEAR(A190)&lt;YEAR(A191),F190&lt;0.5),SUM($G$11:G190)-SUM($H$11:H189),""))</f>
      </c>
      <c r="I190" s="51">
        <f t="shared" si="29"/>
      </c>
      <c r="J190" s="51">
        <f t="shared" si="30"/>
      </c>
      <c r="K190" s="52">
        <f t="shared" si="31"/>
      </c>
      <c r="L190" s="48">
        <f t="shared" si="32"/>
      </c>
    </row>
    <row r="191" spans="1:12" ht="12.75">
      <c r="A191" s="6">
        <f t="shared" si="22"/>
        <v>45870</v>
      </c>
      <c r="B191" s="19">
        <f t="shared" si="23"/>
        <v>181</v>
      </c>
      <c r="C191" s="50">
        <f t="shared" si="24"/>
      </c>
      <c r="D191" s="50">
        <f t="shared" si="25"/>
      </c>
      <c r="E191" s="50">
        <f t="shared" si="26"/>
      </c>
      <c r="F191" s="50">
        <f t="shared" si="27"/>
        <v>0</v>
      </c>
      <c r="G191" s="21">
        <f t="shared" si="28"/>
      </c>
      <c r="H191" s="48">
        <f>IF(F190&lt;0.5,"",IF(OR(YEAR(A191)&lt;YEAR(A192),F191&lt;0.5),SUM($G$11:G191)-SUM($H$11:H190),""))</f>
      </c>
      <c r="I191" s="51">
        <f t="shared" si="29"/>
      </c>
      <c r="J191" s="51">
        <f t="shared" si="30"/>
      </c>
      <c r="K191" s="52">
        <f t="shared" si="31"/>
      </c>
      <c r="L191" s="48">
        <f t="shared" si="32"/>
      </c>
    </row>
    <row r="192" spans="1:12" ht="12.75">
      <c r="A192" s="6">
        <f t="shared" si="22"/>
        <v>45901</v>
      </c>
      <c r="B192" s="19">
        <f t="shared" si="23"/>
        <v>182</v>
      </c>
      <c r="C192" s="50">
        <f t="shared" si="24"/>
      </c>
      <c r="D192" s="50">
        <f t="shared" si="25"/>
      </c>
      <c r="E192" s="50">
        <f t="shared" si="26"/>
      </c>
      <c r="F192" s="50">
        <f t="shared" si="27"/>
        <v>0</v>
      </c>
      <c r="G192" s="21">
        <f t="shared" si="28"/>
      </c>
      <c r="H192" s="48">
        <f>IF(F191&lt;0.5,"",IF(OR(YEAR(A192)&lt;YEAR(A193),F192&lt;0.5),SUM($G$11:G192)-SUM($H$11:H191),""))</f>
      </c>
      <c r="I192" s="51">
        <f t="shared" si="29"/>
      </c>
      <c r="J192" s="51">
        <f t="shared" si="30"/>
      </c>
      <c r="K192" s="52">
        <f t="shared" si="31"/>
      </c>
      <c r="L192" s="48">
        <f t="shared" si="32"/>
      </c>
    </row>
    <row r="193" spans="1:12" ht="12.75">
      <c r="A193" s="6">
        <f t="shared" si="22"/>
        <v>45931</v>
      </c>
      <c r="B193" s="19">
        <f t="shared" si="23"/>
        <v>183</v>
      </c>
      <c r="C193" s="50">
        <f t="shared" si="24"/>
      </c>
      <c r="D193" s="50">
        <f t="shared" si="25"/>
      </c>
      <c r="E193" s="50">
        <f t="shared" si="26"/>
      </c>
      <c r="F193" s="50">
        <f t="shared" si="27"/>
        <v>0</v>
      </c>
      <c r="G193" s="21">
        <f t="shared" si="28"/>
      </c>
      <c r="H193" s="48">
        <f>IF(F192&lt;0.5,"",IF(OR(YEAR(A193)&lt;YEAR(A194),F193&lt;0.5),SUM($G$11:G193)-SUM($H$11:H192),""))</f>
      </c>
      <c r="I193" s="51">
        <f t="shared" si="29"/>
      </c>
      <c r="J193" s="51">
        <f t="shared" si="30"/>
      </c>
      <c r="K193" s="52">
        <f t="shared" si="31"/>
      </c>
      <c r="L193" s="48">
        <f t="shared" si="32"/>
      </c>
    </row>
    <row r="194" spans="1:12" ht="12.75">
      <c r="A194" s="6">
        <f t="shared" si="22"/>
        <v>45962</v>
      </c>
      <c r="B194" s="19">
        <f t="shared" si="23"/>
        <v>184</v>
      </c>
      <c r="C194" s="50">
        <f t="shared" si="24"/>
      </c>
      <c r="D194" s="50">
        <f t="shared" si="25"/>
      </c>
      <c r="E194" s="50">
        <f t="shared" si="26"/>
      </c>
      <c r="F194" s="50">
        <f t="shared" si="27"/>
        <v>0</v>
      </c>
      <c r="G194" s="21">
        <f t="shared" si="28"/>
      </c>
      <c r="H194" s="48">
        <f>IF(F193&lt;0.5,"",IF(OR(YEAR(A194)&lt;YEAR(A195),F194&lt;0.5),SUM($G$11:G194)-SUM($H$11:H193),""))</f>
      </c>
      <c r="I194" s="51">
        <f t="shared" si="29"/>
      </c>
      <c r="J194" s="51">
        <f t="shared" si="30"/>
      </c>
      <c r="K194" s="52">
        <f t="shared" si="31"/>
      </c>
      <c r="L194" s="48">
        <f t="shared" si="32"/>
      </c>
    </row>
    <row r="195" spans="1:12" ht="12.75">
      <c r="A195" s="6">
        <f t="shared" si="22"/>
        <v>45992</v>
      </c>
      <c r="B195" s="19">
        <f t="shared" si="23"/>
        <v>185</v>
      </c>
      <c r="C195" s="50">
        <f t="shared" si="24"/>
      </c>
      <c r="D195" s="50">
        <f t="shared" si="25"/>
      </c>
      <c r="E195" s="50">
        <f t="shared" si="26"/>
      </c>
      <c r="F195" s="50">
        <f t="shared" si="27"/>
        <v>0</v>
      </c>
      <c r="G195" s="21">
        <f t="shared" si="28"/>
      </c>
      <c r="H195" s="48">
        <f>IF(F194&lt;0.5,"",IF(OR(YEAR(A195)&lt;YEAR(A196),F195&lt;0.5),SUM($G$11:G195)-SUM($H$11:H194),""))</f>
      </c>
      <c r="I195" s="51">
        <f t="shared" si="29"/>
      </c>
      <c r="J195" s="51">
        <f t="shared" si="30"/>
      </c>
      <c r="K195" s="52">
        <f t="shared" si="31"/>
      </c>
      <c r="L195" s="48">
        <f t="shared" si="32"/>
      </c>
    </row>
    <row r="196" spans="1:12" ht="12.75">
      <c r="A196" s="6">
        <f t="shared" si="22"/>
        <v>46023</v>
      </c>
      <c r="B196" s="19">
        <f t="shared" si="23"/>
        <v>186</v>
      </c>
      <c r="C196" s="50">
        <f t="shared" si="24"/>
      </c>
      <c r="D196" s="50">
        <f t="shared" si="25"/>
      </c>
      <c r="E196" s="50">
        <f t="shared" si="26"/>
      </c>
      <c r="F196" s="50">
        <f t="shared" si="27"/>
        <v>0</v>
      </c>
      <c r="G196" s="21">
        <f t="shared" si="28"/>
      </c>
      <c r="H196" s="48">
        <f>IF(F195&lt;0.5,"",IF(OR(YEAR(A196)&lt;YEAR(A197),F196&lt;0.5),SUM($G$11:G196)-SUM($H$11:H195),""))</f>
      </c>
      <c r="I196" s="51">
        <f t="shared" si="29"/>
      </c>
      <c r="J196" s="51">
        <f t="shared" si="30"/>
      </c>
      <c r="K196" s="52">
        <f t="shared" si="31"/>
      </c>
      <c r="L196" s="48">
        <f t="shared" si="32"/>
      </c>
    </row>
    <row r="197" spans="1:12" ht="12.75">
      <c r="A197" s="6">
        <f t="shared" si="22"/>
        <v>46054</v>
      </c>
      <c r="B197" s="19">
        <f t="shared" si="23"/>
        <v>187</v>
      </c>
      <c r="C197" s="50">
        <f t="shared" si="24"/>
      </c>
      <c r="D197" s="50">
        <f t="shared" si="25"/>
      </c>
      <c r="E197" s="50">
        <f t="shared" si="26"/>
      </c>
      <c r="F197" s="50">
        <f t="shared" si="27"/>
        <v>0</v>
      </c>
      <c r="G197" s="21">
        <f t="shared" si="28"/>
      </c>
      <c r="H197" s="48">
        <f>IF(F196&lt;0.5,"",IF(OR(YEAR(A197)&lt;YEAR(A198),F197&lt;0.5),SUM($G$11:G197)-SUM($H$11:H196),""))</f>
      </c>
      <c r="I197" s="51">
        <f t="shared" si="29"/>
      </c>
      <c r="J197" s="51">
        <f t="shared" si="30"/>
      </c>
      <c r="K197" s="52">
        <f t="shared" si="31"/>
      </c>
      <c r="L197" s="48">
        <f t="shared" si="32"/>
      </c>
    </row>
    <row r="198" spans="1:12" ht="12.75">
      <c r="A198" s="6">
        <f t="shared" si="22"/>
        <v>46082</v>
      </c>
      <c r="B198" s="19">
        <f t="shared" si="23"/>
        <v>188</v>
      </c>
      <c r="C198" s="50">
        <f t="shared" si="24"/>
      </c>
      <c r="D198" s="50">
        <f t="shared" si="25"/>
      </c>
      <c r="E198" s="50">
        <f t="shared" si="26"/>
      </c>
      <c r="F198" s="50">
        <f t="shared" si="27"/>
        <v>0</v>
      </c>
      <c r="G198" s="21">
        <f t="shared" si="28"/>
      </c>
      <c r="H198" s="48">
        <f>IF(F197&lt;0.5,"",IF(OR(YEAR(A198)&lt;YEAR(A199),F198&lt;0.5),SUM($G$11:G198)-SUM($H$11:H197),""))</f>
      </c>
      <c r="I198" s="51">
        <f t="shared" si="29"/>
      </c>
      <c r="J198" s="51">
        <f t="shared" si="30"/>
      </c>
      <c r="K198" s="52">
        <f t="shared" si="31"/>
      </c>
      <c r="L198" s="48">
        <f t="shared" si="32"/>
      </c>
    </row>
    <row r="199" spans="1:12" ht="12.75">
      <c r="A199" s="6">
        <f t="shared" si="22"/>
        <v>46113</v>
      </c>
      <c r="B199" s="19">
        <f t="shared" si="23"/>
        <v>189</v>
      </c>
      <c r="C199" s="50">
        <f t="shared" si="24"/>
      </c>
      <c r="D199" s="50">
        <f t="shared" si="25"/>
      </c>
      <c r="E199" s="50">
        <f t="shared" si="26"/>
      </c>
      <c r="F199" s="50">
        <f t="shared" si="27"/>
        <v>0</v>
      </c>
      <c r="G199" s="21">
        <f t="shared" si="28"/>
      </c>
      <c r="H199" s="48">
        <f>IF(F198&lt;0.5,"",IF(OR(YEAR(A199)&lt;YEAR(A200),F199&lt;0.5),SUM($G$11:G199)-SUM($H$11:H198),""))</f>
      </c>
      <c r="I199" s="51">
        <f t="shared" si="29"/>
      </c>
      <c r="J199" s="51">
        <f t="shared" si="30"/>
      </c>
      <c r="K199" s="52">
        <f t="shared" si="31"/>
      </c>
      <c r="L199" s="48">
        <f t="shared" si="32"/>
      </c>
    </row>
    <row r="200" spans="1:12" ht="12.75">
      <c r="A200" s="6">
        <f t="shared" si="22"/>
        <v>46143</v>
      </c>
      <c r="B200" s="19">
        <f t="shared" si="23"/>
        <v>190</v>
      </c>
      <c r="C200" s="50">
        <f t="shared" si="24"/>
      </c>
      <c r="D200" s="50">
        <f t="shared" si="25"/>
      </c>
      <c r="E200" s="50">
        <f t="shared" si="26"/>
      </c>
      <c r="F200" s="50">
        <f t="shared" si="27"/>
        <v>0</v>
      </c>
      <c r="G200" s="21">
        <f t="shared" si="28"/>
      </c>
      <c r="H200" s="48">
        <f>IF(F199&lt;0.5,"",IF(OR(YEAR(A200)&lt;YEAR(A201),F200&lt;0.5),SUM($G$11:G200)-SUM($H$11:H199),""))</f>
      </c>
      <c r="I200" s="51">
        <f t="shared" si="29"/>
      </c>
      <c r="J200" s="51">
        <f t="shared" si="30"/>
      </c>
      <c r="K200" s="52">
        <f t="shared" si="31"/>
      </c>
      <c r="L200" s="48">
        <f t="shared" si="32"/>
      </c>
    </row>
    <row r="201" spans="1:12" ht="12.75">
      <c r="A201" s="6">
        <f t="shared" si="22"/>
        <v>46174</v>
      </c>
      <c r="B201" s="19">
        <f t="shared" si="23"/>
        <v>191</v>
      </c>
      <c r="C201" s="50">
        <f t="shared" si="24"/>
      </c>
      <c r="D201" s="50">
        <f t="shared" si="25"/>
      </c>
      <c r="E201" s="50">
        <f t="shared" si="26"/>
      </c>
      <c r="F201" s="50">
        <f t="shared" si="27"/>
        <v>0</v>
      </c>
      <c r="G201" s="21">
        <f t="shared" si="28"/>
      </c>
      <c r="H201" s="48">
        <f>IF(F200&lt;0.5,"",IF(OR(YEAR(A201)&lt;YEAR(A202),F201&lt;0.5),SUM($G$11:G201)-SUM($H$11:H200),""))</f>
      </c>
      <c r="I201" s="51">
        <f t="shared" si="29"/>
      </c>
      <c r="J201" s="51">
        <f t="shared" si="30"/>
      </c>
      <c r="K201" s="52">
        <f t="shared" si="31"/>
      </c>
      <c r="L201" s="48">
        <f t="shared" si="32"/>
      </c>
    </row>
    <row r="202" spans="1:12" ht="12.75">
      <c r="A202" s="6">
        <f t="shared" si="22"/>
        <v>46204</v>
      </c>
      <c r="B202" s="19">
        <f t="shared" si="23"/>
        <v>192</v>
      </c>
      <c r="C202" s="50">
        <f t="shared" si="24"/>
      </c>
      <c r="D202" s="50">
        <f t="shared" si="25"/>
      </c>
      <c r="E202" s="50">
        <f t="shared" si="26"/>
      </c>
      <c r="F202" s="50">
        <f t="shared" si="27"/>
        <v>0</v>
      </c>
      <c r="G202" s="21">
        <f t="shared" si="28"/>
      </c>
      <c r="H202" s="48">
        <f>IF(F201&lt;0.5,"",IF(OR(YEAR(A202)&lt;YEAR(A203),F202&lt;0.5),SUM($G$11:G202)-SUM($H$11:H201),""))</f>
      </c>
      <c r="I202" s="51">
        <f t="shared" si="29"/>
      </c>
      <c r="J202" s="51">
        <f t="shared" si="30"/>
      </c>
      <c r="K202" s="52">
        <f t="shared" si="31"/>
      </c>
      <c r="L202" s="48">
        <f t="shared" si="32"/>
      </c>
    </row>
    <row r="203" spans="1:12" ht="12.75">
      <c r="A203" s="6">
        <f t="shared" si="22"/>
        <v>46235</v>
      </c>
      <c r="B203" s="19">
        <f t="shared" si="23"/>
        <v>193</v>
      </c>
      <c r="C203" s="50">
        <f t="shared" si="24"/>
      </c>
      <c r="D203" s="50">
        <f t="shared" si="25"/>
      </c>
      <c r="E203" s="50">
        <f t="shared" si="26"/>
      </c>
      <c r="F203" s="50">
        <f t="shared" si="27"/>
        <v>0</v>
      </c>
      <c r="G203" s="21">
        <f t="shared" si="28"/>
      </c>
      <c r="H203" s="48">
        <f>IF(F202&lt;0.5,"",IF(OR(YEAR(A203)&lt;YEAR(A204),F203&lt;0.5),SUM($G$11:G203)-SUM($H$11:H202),""))</f>
      </c>
      <c r="I203" s="51">
        <f t="shared" si="29"/>
      </c>
      <c r="J203" s="51">
        <f t="shared" si="30"/>
      </c>
      <c r="K203" s="52">
        <f t="shared" si="31"/>
      </c>
      <c r="L203" s="48">
        <f t="shared" si="32"/>
      </c>
    </row>
    <row r="204" spans="1:12" ht="12.75">
      <c r="A204" s="6">
        <f aca="true" t="shared" si="33" ref="A204:A267">IF($C$6&lt;27,DATE((YEAR(A203)-1900),MONTH(A203)+1,$C$6),DATE((YEAR(A203)-1900),MONTH(A203)+2,1)-1)</f>
        <v>46266</v>
      </c>
      <c r="B204" s="19">
        <f aca="true" t="shared" si="34" ref="B204:B267">B203+1</f>
        <v>194</v>
      </c>
      <c r="C204" s="50">
        <f aca="true" t="shared" si="35" ref="C204:C267">IF(F203&gt;0.5,C203,"")</f>
      </c>
      <c r="D204" s="50">
        <f aca="true" t="shared" si="36" ref="D204:D267">IF(F203&gt;0.5,$I$3*F203,"")</f>
      </c>
      <c r="E204" s="50">
        <f aca="true" t="shared" si="37" ref="E204:E267">IF(F203&gt;0.5,C204-D204,"")</f>
      </c>
      <c r="F204" s="50">
        <f aca="true" t="shared" si="38" ref="F204:F267">IF(F203&gt;0.5,F203-E204,0)</f>
        <v>0</v>
      </c>
      <c r="G204" s="21">
        <f aca="true" t="shared" si="39" ref="G204:G267">IF(F203&gt;0.5,D204*$I$5,"")</f>
      </c>
      <c r="H204" s="48">
        <f>IF(F203&lt;0.5,"",IF(OR(YEAR(A204)&lt;YEAR(A205),F204&lt;0.5),SUM($G$11:G204)-SUM($H$11:H203),""))</f>
      </c>
      <c r="I204" s="51">
        <f aca="true" t="shared" si="40" ref="I204:I267">IF(F203&gt;0.5,I203+D204,"")</f>
      </c>
      <c r="J204" s="51">
        <f aca="true" t="shared" si="41" ref="J204:J267">IF(F203&gt;0.5,J203+E204,"")</f>
      </c>
      <c r="K204" s="52">
        <f aca="true" t="shared" si="42" ref="K204:K267">IF(F203&gt;0.5,C204/(1+$I$4)^B204+K203,"")</f>
      </c>
      <c r="L204" s="48">
        <f aca="true" t="shared" si="43" ref="L204:L267">IF(F203&lt;0.5,"",IF(H204="",L203,H204/(1+$I$4)^B204+L203))</f>
      </c>
    </row>
    <row r="205" spans="1:12" ht="12.75">
      <c r="A205" s="6">
        <f t="shared" si="33"/>
        <v>46296</v>
      </c>
      <c r="B205" s="19">
        <f t="shared" si="34"/>
        <v>195</v>
      </c>
      <c r="C205" s="50">
        <f t="shared" si="35"/>
      </c>
      <c r="D205" s="50">
        <f t="shared" si="36"/>
      </c>
      <c r="E205" s="50">
        <f t="shared" si="37"/>
      </c>
      <c r="F205" s="50">
        <f t="shared" si="38"/>
        <v>0</v>
      </c>
      <c r="G205" s="21">
        <f t="shared" si="39"/>
      </c>
      <c r="H205" s="48">
        <f>IF(F204&lt;0.5,"",IF(OR(YEAR(A205)&lt;YEAR(A206),F205&lt;0.5),SUM($G$11:G205)-SUM($H$11:H204),""))</f>
      </c>
      <c r="I205" s="51">
        <f t="shared" si="40"/>
      </c>
      <c r="J205" s="51">
        <f t="shared" si="41"/>
      </c>
      <c r="K205" s="52">
        <f t="shared" si="42"/>
      </c>
      <c r="L205" s="48">
        <f t="shared" si="43"/>
      </c>
    </row>
    <row r="206" spans="1:12" ht="12.75">
      <c r="A206" s="6">
        <f t="shared" si="33"/>
        <v>46327</v>
      </c>
      <c r="B206" s="19">
        <f t="shared" si="34"/>
        <v>196</v>
      </c>
      <c r="C206" s="50">
        <f t="shared" si="35"/>
      </c>
      <c r="D206" s="50">
        <f t="shared" si="36"/>
      </c>
      <c r="E206" s="50">
        <f t="shared" si="37"/>
      </c>
      <c r="F206" s="50">
        <f t="shared" si="38"/>
        <v>0</v>
      </c>
      <c r="G206" s="21">
        <f t="shared" si="39"/>
      </c>
      <c r="H206" s="48">
        <f>IF(F205&lt;0.5,"",IF(OR(YEAR(A206)&lt;YEAR(A207),F206&lt;0.5),SUM($G$11:G206)-SUM($H$11:H205),""))</f>
      </c>
      <c r="I206" s="51">
        <f t="shared" si="40"/>
      </c>
      <c r="J206" s="51">
        <f t="shared" si="41"/>
      </c>
      <c r="K206" s="52">
        <f t="shared" si="42"/>
      </c>
      <c r="L206" s="48">
        <f t="shared" si="43"/>
      </c>
    </row>
    <row r="207" spans="1:12" ht="12.75">
      <c r="A207" s="6">
        <f t="shared" si="33"/>
        <v>46357</v>
      </c>
      <c r="B207" s="19">
        <f t="shared" si="34"/>
        <v>197</v>
      </c>
      <c r="C207" s="50">
        <f t="shared" si="35"/>
      </c>
      <c r="D207" s="50">
        <f t="shared" si="36"/>
      </c>
      <c r="E207" s="50">
        <f t="shared" si="37"/>
      </c>
      <c r="F207" s="50">
        <f t="shared" si="38"/>
        <v>0</v>
      </c>
      <c r="G207" s="21">
        <f t="shared" si="39"/>
      </c>
      <c r="H207" s="48">
        <f>IF(F206&lt;0.5,"",IF(OR(YEAR(A207)&lt;YEAR(A208),F207&lt;0.5),SUM($G$11:G207)-SUM($H$11:H206),""))</f>
      </c>
      <c r="I207" s="51">
        <f t="shared" si="40"/>
      </c>
      <c r="J207" s="51">
        <f t="shared" si="41"/>
      </c>
      <c r="K207" s="52">
        <f t="shared" si="42"/>
      </c>
      <c r="L207" s="48">
        <f t="shared" si="43"/>
      </c>
    </row>
    <row r="208" spans="1:12" ht="12.75">
      <c r="A208" s="6">
        <f t="shared" si="33"/>
        <v>46388</v>
      </c>
      <c r="B208" s="19">
        <f t="shared" si="34"/>
        <v>198</v>
      </c>
      <c r="C208" s="50">
        <f t="shared" si="35"/>
      </c>
      <c r="D208" s="50">
        <f t="shared" si="36"/>
      </c>
      <c r="E208" s="50">
        <f t="shared" si="37"/>
      </c>
      <c r="F208" s="50">
        <f t="shared" si="38"/>
        <v>0</v>
      </c>
      <c r="G208" s="21">
        <f t="shared" si="39"/>
      </c>
      <c r="H208" s="48">
        <f>IF(F207&lt;0.5,"",IF(OR(YEAR(A208)&lt;YEAR(A209),F208&lt;0.5),SUM($G$11:G208)-SUM($H$11:H207),""))</f>
      </c>
      <c r="I208" s="51">
        <f t="shared" si="40"/>
      </c>
      <c r="J208" s="51">
        <f t="shared" si="41"/>
      </c>
      <c r="K208" s="52">
        <f t="shared" si="42"/>
      </c>
      <c r="L208" s="48">
        <f t="shared" si="43"/>
      </c>
    </row>
    <row r="209" spans="1:12" ht="12.75">
      <c r="A209" s="6">
        <f t="shared" si="33"/>
        <v>46419</v>
      </c>
      <c r="B209" s="19">
        <f t="shared" si="34"/>
        <v>199</v>
      </c>
      <c r="C209" s="50">
        <f t="shared" si="35"/>
      </c>
      <c r="D209" s="50">
        <f t="shared" si="36"/>
      </c>
      <c r="E209" s="50">
        <f t="shared" si="37"/>
      </c>
      <c r="F209" s="50">
        <f t="shared" si="38"/>
        <v>0</v>
      </c>
      <c r="G209" s="21">
        <f t="shared" si="39"/>
      </c>
      <c r="H209" s="48">
        <f>IF(F208&lt;0.5,"",IF(OR(YEAR(A209)&lt;YEAR(A210),F209&lt;0.5),SUM($G$11:G209)-SUM($H$11:H208),""))</f>
      </c>
      <c r="I209" s="51">
        <f t="shared" si="40"/>
      </c>
      <c r="J209" s="51">
        <f t="shared" si="41"/>
      </c>
      <c r="K209" s="52">
        <f t="shared" si="42"/>
      </c>
      <c r="L209" s="48">
        <f t="shared" si="43"/>
      </c>
    </row>
    <row r="210" spans="1:12" ht="12.75">
      <c r="A210" s="6">
        <f t="shared" si="33"/>
        <v>46447</v>
      </c>
      <c r="B210" s="19">
        <f t="shared" si="34"/>
        <v>200</v>
      </c>
      <c r="C210" s="50">
        <f t="shared" si="35"/>
      </c>
      <c r="D210" s="50">
        <f t="shared" si="36"/>
      </c>
      <c r="E210" s="50">
        <f t="shared" si="37"/>
      </c>
      <c r="F210" s="50">
        <f t="shared" si="38"/>
        <v>0</v>
      </c>
      <c r="G210" s="21">
        <f t="shared" si="39"/>
      </c>
      <c r="H210" s="48">
        <f>IF(F209&lt;0.5,"",IF(OR(YEAR(A210)&lt;YEAR(A211),F210&lt;0.5),SUM($G$11:G210)-SUM($H$11:H209),""))</f>
      </c>
      <c r="I210" s="51">
        <f t="shared" si="40"/>
      </c>
      <c r="J210" s="51">
        <f t="shared" si="41"/>
      </c>
      <c r="K210" s="52">
        <f t="shared" si="42"/>
      </c>
      <c r="L210" s="48">
        <f t="shared" si="43"/>
      </c>
    </row>
    <row r="211" spans="1:12" ht="12.75">
      <c r="A211" s="6">
        <f t="shared" si="33"/>
        <v>46478</v>
      </c>
      <c r="B211" s="19">
        <f t="shared" si="34"/>
        <v>201</v>
      </c>
      <c r="C211" s="50">
        <f t="shared" si="35"/>
      </c>
      <c r="D211" s="50">
        <f t="shared" si="36"/>
      </c>
      <c r="E211" s="50">
        <f t="shared" si="37"/>
      </c>
      <c r="F211" s="50">
        <f t="shared" si="38"/>
        <v>0</v>
      </c>
      <c r="G211" s="21">
        <f t="shared" si="39"/>
      </c>
      <c r="H211" s="48">
        <f>IF(F210&lt;0.5,"",IF(OR(YEAR(A211)&lt;YEAR(A212),F211&lt;0.5),SUM($G$11:G211)-SUM($H$11:H210),""))</f>
      </c>
      <c r="I211" s="51">
        <f t="shared" si="40"/>
      </c>
      <c r="J211" s="51">
        <f t="shared" si="41"/>
      </c>
      <c r="K211" s="52">
        <f t="shared" si="42"/>
      </c>
      <c r="L211" s="48">
        <f t="shared" si="43"/>
      </c>
    </row>
    <row r="212" spans="1:12" ht="12.75">
      <c r="A212" s="6">
        <f t="shared" si="33"/>
        <v>46508</v>
      </c>
      <c r="B212" s="19">
        <f t="shared" si="34"/>
        <v>202</v>
      </c>
      <c r="C212" s="50">
        <f t="shared" si="35"/>
      </c>
      <c r="D212" s="50">
        <f t="shared" si="36"/>
      </c>
      <c r="E212" s="50">
        <f t="shared" si="37"/>
      </c>
      <c r="F212" s="50">
        <f t="shared" si="38"/>
        <v>0</v>
      </c>
      <c r="G212" s="21">
        <f t="shared" si="39"/>
      </c>
      <c r="H212" s="48">
        <f>IF(F211&lt;0.5,"",IF(OR(YEAR(A212)&lt;YEAR(A213),F212&lt;0.5),SUM($G$11:G212)-SUM($H$11:H211),""))</f>
      </c>
      <c r="I212" s="51">
        <f t="shared" si="40"/>
      </c>
      <c r="J212" s="51">
        <f t="shared" si="41"/>
      </c>
      <c r="K212" s="52">
        <f t="shared" si="42"/>
      </c>
      <c r="L212" s="48">
        <f t="shared" si="43"/>
      </c>
    </row>
    <row r="213" spans="1:12" ht="12.75">
      <c r="A213" s="6">
        <f t="shared" si="33"/>
        <v>46539</v>
      </c>
      <c r="B213" s="19">
        <f t="shared" si="34"/>
        <v>203</v>
      </c>
      <c r="C213" s="50">
        <f t="shared" si="35"/>
      </c>
      <c r="D213" s="50">
        <f t="shared" si="36"/>
      </c>
      <c r="E213" s="50">
        <f t="shared" si="37"/>
      </c>
      <c r="F213" s="50">
        <f t="shared" si="38"/>
        <v>0</v>
      </c>
      <c r="G213" s="21">
        <f t="shared" si="39"/>
      </c>
      <c r="H213" s="48">
        <f>IF(F212&lt;0.5,"",IF(OR(YEAR(A213)&lt;YEAR(A214),F213&lt;0.5),SUM($G$11:G213)-SUM($H$11:H212),""))</f>
      </c>
      <c r="I213" s="51">
        <f t="shared" si="40"/>
      </c>
      <c r="J213" s="51">
        <f t="shared" si="41"/>
      </c>
      <c r="K213" s="52">
        <f t="shared" si="42"/>
      </c>
      <c r="L213" s="48">
        <f t="shared" si="43"/>
      </c>
    </row>
    <row r="214" spans="1:12" ht="12.75">
      <c r="A214" s="6">
        <f t="shared" si="33"/>
        <v>46569</v>
      </c>
      <c r="B214" s="19">
        <f t="shared" si="34"/>
        <v>204</v>
      </c>
      <c r="C214" s="50">
        <f t="shared" si="35"/>
      </c>
      <c r="D214" s="50">
        <f t="shared" si="36"/>
      </c>
      <c r="E214" s="50">
        <f t="shared" si="37"/>
      </c>
      <c r="F214" s="50">
        <f t="shared" si="38"/>
        <v>0</v>
      </c>
      <c r="G214" s="21">
        <f t="shared" si="39"/>
      </c>
      <c r="H214" s="48">
        <f>IF(F213&lt;0.5,"",IF(OR(YEAR(A214)&lt;YEAR(A215),F214&lt;0.5),SUM($G$11:G214)-SUM($H$11:H213),""))</f>
      </c>
      <c r="I214" s="51">
        <f t="shared" si="40"/>
      </c>
      <c r="J214" s="51">
        <f t="shared" si="41"/>
      </c>
      <c r="K214" s="52">
        <f t="shared" si="42"/>
      </c>
      <c r="L214" s="48">
        <f t="shared" si="43"/>
      </c>
    </row>
    <row r="215" spans="1:12" ht="12.75">
      <c r="A215" s="6">
        <f t="shared" si="33"/>
        <v>46600</v>
      </c>
      <c r="B215" s="19">
        <f t="shared" si="34"/>
        <v>205</v>
      </c>
      <c r="C215" s="50">
        <f t="shared" si="35"/>
      </c>
      <c r="D215" s="50">
        <f t="shared" si="36"/>
      </c>
      <c r="E215" s="50">
        <f t="shared" si="37"/>
      </c>
      <c r="F215" s="50">
        <f t="shared" si="38"/>
        <v>0</v>
      </c>
      <c r="G215" s="21">
        <f t="shared" si="39"/>
      </c>
      <c r="H215" s="48">
        <f>IF(F214&lt;0.5,"",IF(OR(YEAR(A215)&lt;YEAR(A216),F215&lt;0.5),SUM($G$11:G215)-SUM($H$11:H214),""))</f>
      </c>
      <c r="I215" s="51">
        <f t="shared" si="40"/>
      </c>
      <c r="J215" s="51">
        <f t="shared" si="41"/>
      </c>
      <c r="K215" s="52">
        <f t="shared" si="42"/>
      </c>
      <c r="L215" s="48">
        <f t="shared" si="43"/>
      </c>
    </row>
    <row r="216" spans="1:12" ht="12.75">
      <c r="A216" s="6">
        <f t="shared" si="33"/>
        <v>46631</v>
      </c>
      <c r="B216" s="19">
        <f t="shared" si="34"/>
        <v>206</v>
      </c>
      <c r="C216" s="50">
        <f t="shared" si="35"/>
      </c>
      <c r="D216" s="50">
        <f t="shared" si="36"/>
      </c>
      <c r="E216" s="50">
        <f t="shared" si="37"/>
      </c>
      <c r="F216" s="50">
        <f t="shared" si="38"/>
        <v>0</v>
      </c>
      <c r="G216" s="21">
        <f t="shared" si="39"/>
      </c>
      <c r="H216" s="48">
        <f>IF(F215&lt;0.5,"",IF(OR(YEAR(A216)&lt;YEAR(A217),F216&lt;0.5),SUM($G$11:G216)-SUM($H$11:H215),""))</f>
      </c>
      <c r="I216" s="51">
        <f t="shared" si="40"/>
      </c>
      <c r="J216" s="51">
        <f t="shared" si="41"/>
      </c>
      <c r="K216" s="52">
        <f t="shared" si="42"/>
      </c>
      <c r="L216" s="48">
        <f t="shared" si="43"/>
      </c>
    </row>
    <row r="217" spans="1:12" ht="12.75">
      <c r="A217" s="6">
        <f t="shared" si="33"/>
        <v>46661</v>
      </c>
      <c r="B217" s="19">
        <f t="shared" si="34"/>
        <v>207</v>
      </c>
      <c r="C217" s="50">
        <f t="shared" si="35"/>
      </c>
      <c r="D217" s="50">
        <f t="shared" si="36"/>
      </c>
      <c r="E217" s="50">
        <f t="shared" si="37"/>
      </c>
      <c r="F217" s="50">
        <f t="shared" si="38"/>
        <v>0</v>
      </c>
      <c r="G217" s="21">
        <f t="shared" si="39"/>
      </c>
      <c r="H217" s="48">
        <f>IF(F216&lt;0.5,"",IF(OR(YEAR(A217)&lt;YEAR(A218),F217&lt;0.5),SUM($G$11:G217)-SUM($H$11:H216),""))</f>
      </c>
      <c r="I217" s="51">
        <f t="shared" si="40"/>
      </c>
      <c r="J217" s="51">
        <f t="shared" si="41"/>
      </c>
      <c r="K217" s="52">
        <f t="shared" si="42"/>
      </c>
      <c r="L217" s="48">
        <f t="shared" si="43"/>
      </c>
    </row>
    <row r="218" spans="1:12" ht="12.75">
      <c r="A218" s="6">
        <f t="shared" si="33"/>
        <v>46692</v>
      </c>
      <c r="B218" s="19">
        <f t="shared" si="34"/>
        <v>208</v>
      </c>
      <c r="C218" s="50">
        <f t="shared" si="35"/>
      </c>
      <c r="D218" s="50">
        <f t="shared" si="36"/>
      </c>
      <c r="E218" s="50">
        <f t="shared" si="37"/>
      </c>
      <c r="F218" s="50">
        <f t="shared" si="38"/>
        <v>0</v>
      </c>
      <c r="G218" s="21">
        <f t="shared" si="39"/>
      </c>
      <c r="H218" s="48">
        <f>IF(F217&lt;0.5,"",IF(OR(YEAR(A218)&lt;YEAR(A219),F218&lt;0.5),SUM($G$11:G218)-SUM($H$11:H217),""))</f>
      </c>
      <c r="I218" s="51">
        <f t="shared" si="40"/>
      </c>
      <c r="J218" s="51">
        <f t="shared" si="41"/>
      </c>
      <c r="K218" s="52">
        <f t="shared" si="42"/>
      </c>
      <c r="L218" s="48">
        <f t="shared" si="43"/>
      </c>
    </row>
    <row r="219" spans="1:12" ht="12.75">
      <c r="A219" s="6">
        <f t="shared" si="33"/>
        <v>46722</v>
      </c>
      <c r="B219" s="19">
        <f t="shared" si="34"/>
        <v>209</v>
      </c>
      <c r="C219" s="50">
        <f t="shared" si="35"/>
      </c>
      <c r="D219" s="50">
        <f t="shared" si="36"/>
      </c>
      <c r="E219" s="50">
        <f t="shared" si="37"/>
      </c>
      <c r="F219" s="50">
        <f t="shared" si="38"/>
        <v>0</v>
      </c>
      <c r="G219" s="21">
        <f t="shared" si="39"/>
      </c>
      <c r="H219" s="48">
        <f>IF(F218&lt;0.5,"",IF(OR(YEAR(A219)&lt;YEAR(A220),F219&lt;0.5),SUM($G$11:G219)-SUM($H$11:H218),""))</f>
      </c>
      <c r="I219" s="51">
        <f t="shared" si="40"/>
      </c>
      <c r="J219" s="51">
        <f t="shared" si="41"/>
      </c>
      <c r="K219" s="52">
        <f t="shared" si="42"/>
      </c>
      <c r="L219" s="48">
        <f t="shared" si="43"/>
      </c>
    </row>
    <row r="220" spans="1:12" ht="12.75">
      <c r="A220" s="6">
        <f t="shared" si="33"/>
        <v>46753</v>
      </c>
      <c r="B220" s="19">
        <f t="shared" si="34"/>
        <v>210</v>
      </c>
      <c r="C220" s="50">
        <f t="shared" si="35"/>
      </c>
      <c r="D220" s="50">
        <f t="shared" si="36"/>
      </c>
      <c r="E220" s="50">
        <f t="shared" si="37"/>
      </c>
      <c r="F220" s="50">
        <f t="shared" si="38"/>
        <v>0</v>
      </c>
      <c r="G220" s="21">
        <f t="shared" si="39"/>
      </c>
      <c r="H220" s="48">
        <f>IF(F219&lt;0.5,"",IF(OR(YEAR(A220)&lt;YEAR(A221),F220&lt;0.5),SUM($G$11:G220)-SUM($H$11:H219),""))</f>
      </c>
      <c r="I220" s="51">
        <f t="shared" si="40"/>
      </c>
      <c r="J220" s="51">
        <f t="shared" si="41"/>
      </c>
      <c r="K220" s="52">
        <f t="shared" si="42"/>
      </c>
      <c r="L220" s="48">
        <f t="shared" si="43"/>
      </c>
    </row>
    <row r="221" spans="1:12" ht="12.75">
      <c r="A221" s="6">
        <f t="shared" si="33"/>
        <v>46784</v>
      </c>
      <c r="B221" s="19">
        <f t="shared" si="34"/>
        <v>211</v>
      </c>
      <c r="C221" s="50">
        <f t="shared" si="35"/>
      </c>
      <c r="D221" s="50">
        <f t="shared" si="36"/>
      </c>
      <c r="E221" s="50">
        <f t="shared" si="37"/>
      </c>
      <c r="F221" s="50">
        <f t="shared" si="38"/>
        <v>0</v>
      </c>
      <c r="G221" s="21">
        <f t="shared" si="39"/>
      </c>
      <c r="H221" s="48">
        <f>IF(F220&lt;0.5,"",IF(OR(YEAR(A221)&lt;YEAR(A222),F221&lt;0.5),SUM($G$11:G221)-SUM($H$11:H220),""))</f>
      </c>
      <c r="I221" s="51">
        <f t="shared" si="40"/>
      </c>
      <c r="J221" s="51">
        <f t="shared" si="41"/>
      </c>
      <c r="K221" s="52">
        <f t="shared" si="42"/>
      </c>
      <c r="L221" s="48">
        <f t="shared" si="43"/>
      </c>
    </row>
    <row r="222" spans="1:12" ht="12.75">
      <c r="A222" s="6">
        <f t="shared" si="33"/>
        <v>46813</v>
      </c>
      <c r="B222" s="19">
        <f t="shared" si="34"/>
        <v>212</v>
      </c>
      <c r="C222" s="50">
        <f t="shared" si="35"/>
      </c>
      <c r="D222" s="50">
        <f t="shared" si="36"/>
      </c>
      <c r="E222" s="50">
        <f t="shared" si="37"/>
      </c>
      <c r="F222" s="50">
        <f t="shared" si="38"/>
        <v>0</v>
      </c>
      <c r="G222" s="21">
        <f t="shared" si="39"/>
      </c>
      <c r="H222" s="48">
        <f>IF(F221&lt;0.5,"",IF(OR(YEAR(A222)&lt;YEAR(A223),F222&lt;0.5),SUM($G$11:G222)-SUM($H$11:H221),""))</f>
      </c>
      <c r="I222" s="51">
        <f t="shared" si="40"/>
      </c>
      <c r="J222" s="51">
        <f t="shared" si="41"/>
      </c>
      <c r="K222" s="52">
        <f t="shared" si="42"/>
      </c>
      <c r="L222" s="48">
        <f t="shared" si="43"/>
      </c>
    </row>
    <row r="223" spans="1:12" ht="12.75">
      <c r="A223" s="6">
        <f t="shared" si="33"/>
        <v>46844</v>
      </c>
      <c r="B223" s="19">
        <f t="shared" si="34"/>
        <v>213</v>
      </c>
      <c r="C223" s="50">
        <f t="shared" si="35"/>
      </c>
      <c r="D223" s="50">
        <f t="shared" si="36"/>
      </c>
      <c r="E223" s="50">
        <f t="shared" si="37"/>
      </c>
      <c r="F223" s="50">
        <f t="shared" si="38"/>
        <v>0</v>
      </c>
      <c r="G223" s="21">
        <f t="shared" si="39"/>
      </c>
      <c r="H223" s="48">
        <f>IF(F222&lt;0.5,"",IF(OR(YEAR(A223)&lt;YEAR(A224),F223&lt;0.5),SUM($G$11:G223)-SUM($H$11:H222),""))</f>
      </c>
      <c r="I223" s="51">
        <f t="shared" si="40"/>
      </c>
      <c r="J223" s="51">
        <f t="shared" si="41"/>
      </c>
      <c r="K223" s="52">
        <f t="shared" si="42"/>
      </c>
      <c r="L223" s="48">
        <f t="shared" si="43"/>
      </c>
    </row>
    <row r="224" spans="1:12" ht="12.75">
      <c r="A224" s="6">
        <f t="shared" si="33"/>
        <v>46874</v>
      </c>
      <c r="B224" s="19">
        <f t="shared" si="34"/>
        <v>214</v>
      </c>
      <c r="C224" s="50">
        <f t="shared" si="35"/>
      </c>
      <c r="D224" s="50">
        <f t="shared" si="36"/>
      </c>
      <c r="E224" s="50">
        <f t="shared" si="37"/>
      </c>
      <c r="F224" s="50">
        <f t="shared" si="38"/>
        <v>0</v>
      </c>
      <c r="G224" s="21">
        <f t="shared" si="39"/>
      </c>
      <c r="H224" s="48">
        <f>IF(F223&lt;0.5,"",IF(OR(YEAR(A224)&lt;YEAR(A225),F224&lt;0.5),SUM($G$11:G224)-SUM($H$11:H223),""))</f>
      </c>
      <c r="I224" s="51">
        <f t="shared" si="40"/>
      </c>
      <c r="J224" s="51">
        <f t="shared" si="41"/>
      </c>
      <c r="K224" s="52">
        <f t="shared" si="42"/>
      </c>
      <c r="L224" s="48">
        <f t="shared" si="43"/>
      </c>
    </row>
    <row r="225" spans="1:12" ht="12.75">
      <c r="A225" s="6">
        <f t="shared" si="33"/>
        <v>46905</v>
      </c>
      <c r="B225" s="19">
        <f t="shared" si="34"/>
        <v>215</v>
      </c>
      <c r="C225" s="50">
        <f t="shared" si="35"/>
      </c>
      <c r="D225" s="50">
        <f t="shared" si="36"/>
      </c>
      <c r="E225" s="50">
        <f t="shared" si="37"/>
      </c>
      <c r="F225" s="50">
        <f t="shared" si="38"/>
        <v>0</v>
      </c>
      <c r="G225" s="21">
        <f t="shared" si="39"/>
      </c>
      <c r="H225" s="48">
        <f>IF(F224&lt;0.5,"",IF(OR(YEAR(A225)&lt;YEAR(A226),F225&lt;0.5),SUM($G$11:G225)-SUM($H$11:H224),""))</f>
      </c>
      <c r="I225" s="51">
        <f t="shared" si="40"/>
      </c>
      <c r="J225" s="51">
        <f t="shared" si="41"/>
      </c>
      <c r="K225" s="52">
        <f t="shared" si="42"/>
      </c>
      <c r="L225" s="48">
        <f t="shared" si="43"/>
      </c>
    </row>
    <row r="226" spans="1:12" ht="12.75">
      <c r="A226" s="6">
        <f t="shared" si="33"/>
        <v>46935</v>
      </c>
      <c r="B226" s="19">
        <f t="shared" si="34"/>
        <v>216</v>
      </c>
      <c r="C226" s="50">
        <f t="shared" si="35"/>
      </c>
      <c r="D226" s="50">
        <f t="shared" si="36"/>
      </c>
      <c r="E226" s="50">
        <f t="shared" si="37"/>
      </c>
      <c r="F226" s="50">
        <f t="shared" si="38"/>
        <v>0</v>
      </c>
      <c r="G226" s="21">
        <f t="shared" si="39"/>
      </c>
      <c r="H226" s="48">
        <f>IF(F225&lt;0.5,"",IF(OR(YEAR(A226)&lt;YEAR(A227),F226&lt;0.5),SUM($G$11:G226)-SUM($H$11:H225),""))</f>
      </c>
      <c r="I226" s="51">
        <f t="shared" si="40"/>
      </c>
      <c r="J226" s="51">
        <f t="shared" si="41"/>
      </c>
      <c r="K226" s="52">
        <f t="shared" si="42"/>
      </c>
      <c r="L226" s="48">
        <f t="shared" si="43"/>
      </c>
    </row>
    <row r="227" spans="1:12" ht="12.75">
      <c r="A227" s="6">
        <f t="shared" si="33"/>
        <v>46966</v>
      </c>
      <c r="B227" s="19">
        <f t="shared" si="34"/>
        <v>217</v>
      </c>
      <c r="C227" s="50">
        <f t="shared" si="35"/>
      </c>
      <c r="D227" s="50">
        <f t="shared" si="36"/>
      </c>
      <c r="E227" s="50">
        <f t="shared" si="37"/>
      </c>
      <c r="F227" s="50">
        <f t="shared" si="38"/>
        <v>0</v>
      </c>
      <c r="G227" s="21">
        <f t="shared" si="39"/>
      </c>
      <c r="H227" s="48">
        <f>IF(F226&lt;0.5,"",IF(OR(YEAR(A227)&lt;YEAR(A228),F227&lt;0.5),SUM($G$11:G227)-SUM($H$11:H226),""))</f>
      </c>
      <c r="I227" s="51">
        <f t="shared" si="40"/>
      </c>
      <c r="J227" s="51">
        <f t="shared" si="41"/>
      </c>
      <c r="K227" s="52">
        <f t="shared" si="42"/>
      </c>
      <c r="L227" s="48">
        <f t="shared" si="43"/>
      </c>
    </row>
    <row r="228" spans="1:12" ht="12.75">
      <c r="A228" s="6">
        <f t="shared" si="33"/>
        <v>46997</v>
      </c>
      <c r="B228" s="19">
        <f t="shared" si="34"/>
        <v>218</v>
      </c>
      <c r="C228" s="50">
        <f t="shared" si="35"/>
      </c>
      <c r="D228" s="50">
        <f t="shared" si="36"/>
      </c>
      <c r="E228" s="50">
        <f t="shared" si="37"/>
      </c>
      <c r="F228" s="50">
        <f t="shared" si="38"/>
        <v>0</v>
      </c>
      <c r="G228" s="21">
        <f t="shared" si="39"/>
      </c>
      <c r="H228" s="48">
        <f>IF(F227&lt;0.5,"",IF(OR(YEAR(A228)&lt;YEAR(A229),F228&lt;0.5),SUM($G$11:G228)-SUM($H$11:H227),""))</f>
      </c>
      <c r="I228" s="51">
        <f t="shared" si="40"/>
      </c>
      <c r="J228" s="51">
        <f t="shared" si="41"/>
      </c>
      <c r="K228" s="52">
        <f t="shared" si="42"/>
      </c>
      <c r="L228" s="48">
        <f t="shared" si="43"/>
      </c>
    </row>
    <row r="229" spans="1:12" ht="12.75">
      <c r="A229" s="6">
        <f t="shared" si="33"/>
        <v>47027</v>
      </c>
      <c r="B229" s="19">
        <f t="shared" si="34"/>
        <v>219</v>
      </c>
      <c r="C229" s="50">
        <f t="shared" si="35"/>
      </c>
      <c r="D229" s="50">
        <f t="shared" si="36"/>
      </c>
      <c r="E229" s="50">
        <f t="shared" si="37"/>
      </c>
      <c r="F229" s="50">
        <f t="shared" si="38"/>
        <v>0</v>
      </c>
      <c r="G229" s="21">
        <f t="shared" si="39"/>
      </c>
      <c r="H229" s="48">
        <f>IF(F228&lt;0.5,"",IF(OR(YEAR(A229)&lt;YEAR(A230),F229&lt;0.5),SUM($G$11:G229)-SUM($H$11:H228),""))</f>
      </c>
      <c r="I229" s="51">
        <f t="shared" si="40"/>
      </c>
      <c r="J229" s="51">
        <f t="shared" si="41"/>
      </c>
      <c r="K229" s="52">
        <f t="shared" si="42"/>
      </c>
      <c r="L229" s="48">
        <f t="shared" si="43"/>
      </c>
    </row>
    <row r="230" spans="1:12" ht="12.75">
      <c r="A230" s="6">
        <f t="shared" si="33"/>
        <v>47058</v>
      </c>
      <c r="B230" s="19">
        <f t="shared" si="34"/>
        <v>220</v>
      </c>
      <c r="C230" s="50">
        <f t="shared" si="35"/>
      </c>
      <c r="D230" s="50">
        <f t="shared" si="36"/>
      </c>
      <c r="E230" s="50">
        <f t="shared" si="37"/>
      </c>
      <c r="F230" s="50">
        <f t="shared" si="38"/>
        <v>0</v>
      </c>
      <c r="G230" s="21">
        <f t="shared" si="39"/>
      </c>
      <c r="H230" s="48">
        <f>IF(F229&lt;0.5,"",IF(OR(YEAR(A230)&lt;YEAR(A231),F230&lt;0.5),SUM($G$11:G230)-SUM($H$11:H229),""))</f>
      </c>
      <c r="I230" s="51">
        <f t="shared" si="40"/>
      </c>
      <c r="J230" s="51">
        <f t="shared" si="41"/>
      </c>
      <c r="K230" s="52">
        <f t="shared" si="42"/>
      </c>
      <c r="L230" s="48">
        <f t="shared" si="43"/>
      </c>
    </row>
    <row r="231" spans="1:12" ht="12.75">
      <c r="A231" s="6">
        <f t="shared" si="33"/>
        <v>47088</v>
      </c>
      <c r="B231" s="19">
        <f t="shared" si="34"/>
        <v>221</v>
      </c>
      <c r="C231" s="50">
        <f t="shared" si="35"/>
      </c>
      <c r="D231" s="50">
        <f t="shared" si="36"/>
      </c>
      <c r="E231" s="50">
        <f t="shared" si="37"/>
      </c>
      <c r="F231" s="50">
        <f t="shared" si="38"/>
        <v>0</v>
      </c>
      <c r="G231" s="21">
        <f t="shared" si="39"/>
      </c>
      <c r="H231" s="48">
        <f>IF(F230&lt;0.5,"",IF(OR(YEAR(A231)&lt;YEAR(A232),F231&lt;0.5),SUM($G$11:G231)-SUM($H$11:H230),""))</f>
      </c>
      <c r="I231" s="51">
        <f t="shared" si="40"/>
      </c>
      <c r="J231" s="51">
        <f t="shared" si="41"/>
      </c>
      <c r="K231" s="52">
        <f t="shared" si="42"/>
      </c>
      <c r="L231" s="48">
        <f t="shared" si="43"/>
      </c>
    </row>
    <row r="232" spans="1:12" ht="12.75">
      <c r="A232" s="6">
        <f t="shared" si="33"/>
        <v>47119</v>
      </c>
      <c r="B232" s="19">
        <f t="shared" si="34"/>
        <v>222</v>
      </c>
      <c r="C232" s="50">
        <f t="shared" si="35"/>
      </c>
      <c r="D232" s="50">
        <f t="shared" si="36"/>
      </c>
      <c r="E232" s="50">
        <f t="shared" si="37"/>
      </c>
      <c r="F232" s="50">
        <f t="shared" si="38"/>
        <v>0</v>
      </c>
      <c r="G232" s="21">
        <f t="shared" si="39"/>
      </c>
      <c r="H232" s="48">
        <f>IF(F231&lt;0.5,"",IF(OR(YEAR(A232)&lt;YEAR(A233),F232&lt;0.5),SUM($G$11:G232)-SUM($H$11:H231),""))</f>
      </c>
      <c r="I232" s="51">
        <f t="shared" si="40"/>
      </c>
      <c r="J232" s="51">
        <f t="shared" si="41"/>
      </c>
      <c r="K232" s="52">
        <f t="shared" si="42"/>
      </c>
      <c r="L232" s="48">
        <f t="shared" si="43"/>
      </c>
    </row>
    <row r="233" spans="1:12" ht="12.75">
      <c r="A233" s="6">
        <f t="shared" si="33"/>
        <v>47150</v>
      </c>
      <c r="B233" s="19">
        <f t="shared" si="34"/>
        <v>223</v>
      </c>
      <c r="C233" s="50">
        <f t="shared" si="35"/>
      </c>
      <c r="D233" s="50">
        <f t="shared" si="36"/>
      </c>
      <c r="E233" s="50">
        <f t="shared" si="37"/>
      </c>
      <c r="F233" s="50">
        <f t="shared" si="38"/>
        <v>0</v>
      </c>
      <c r="G233" s="21">
        <f t="shared" si="39"/>
      </c>
      <c r="H233" s="48">
        <f>IF(F232&lt;0.5,"",IF(OR(YEAR(A233)&lt;YEAR(A234),F233&lt;0.5),SUM($G$11:G233)-SUM($H$11:H232),""))</f>
      </c>
      <c r="I233" s="51">
        <f t="shared" si="40"/>
      </c>
      <c r="J233" s="51">
        <f t="shared" si="41"/>
      </c>
      <c r="K233" s="52">
        <f t="shared" si="42"/>
      </c>
      <c r="L233" s="48">
        <f t="shared" si="43"/>
      </c>
    </row>
    <row r="234" spans="1:12" ht="12.75">
      <c r="A234" s="6">
        <f t="shared" si="33"/>
        <v>47178</v>
      </c>
      <c r="B234" s="19">
        <f t="shared" si="34"/>
        <v>224</v>
      </c>
      <c r="C234" s="50">
        <f t="shared" si="35"/>
      </c>
      <c r="D234" s="50">
        <f t="shared" si="36"/>
      </c>
      <c r="E234" s="50">
        <f t="shared" si="37"/>
      </c>
      <c r="F234" s="50">
        <f t="shared" si="38"/>
        <v>0</v>
      </c>
      <c r="G234" s="21">
        <f t="shared" si="39"/>
      </c>
      <c r="H234" s="48">
        <f>IF(F233&lt;0.5,"",IF(OR(YEAR(A234)&lt;YEAR(A235),F234&lt;0.5),SUM($G$11:G234)-SUM($H$11:H233),""))</f>
      </c>
      <c r="I234" s="51">
        <f t="shared" si="40"/>
      </c>
      <c r="J234" s="51">
        <f t="shared" si="41"/>
      </c>
      <c r="K234" s="52">
        <f t="shared" si="42"/>
      </c>
      <c r="L234" s="48">
        <f t="shared" si="43"/>
      </c>
    </row>
    <row r="235" spans="1:12" ht="12.75">
      <c r="A235" s="6">
        <f t="shared" si="33"/>
        <v>47209</v>
      </c>
      <c r="B235" s="19">
        <f t="shared" si="34"/>
        <v>225</v>
      </c>
      <c r="C235" s="50">
        <f t="shared" si="35"/>
      </c>
      <c r="D235" s="50">
        <f t="shared" si="36"/>
      </c>
      <c r="E235" s="50">
        <f t="shared" si="37"/>
      </c>
      <c r="F235" s="50">
        <f t="shared" si="38"/>
        <v>0</v>
      </c>
      <c r="G235" s="21">
        <f t="shared" si="39"/>
      </c>
      <c r="H235" s="48">
        <f>IF(F234&lt;0.5,"",IF(OR(YEAR(A235)&lt;YEAR(A236),F235&lt;0.5),SUM($G$11:G235)-SUM($H$11:H234),""))</f>
      </c>
      <c r="I235" s="51">
        <f t="shared" si="40"/>
      </c>
      <c r="J235" s="51">
        <f t="shared" si="41"/>
      </c>
      <c r="K235" s="52">
        <f t="shared" si="42"/>
      </c>
      <c r="L235" s="48">
        <f t="shared" si="43"/>
      </c>
    </row>
    <row r="236" spans="1:12" ht="12.75">
      <c r="A236" s="6">
        <f t="shared" si="33"/>
        <v>47239</v>
      </c>
      <c r="B236" s="19">
        <f t="shared" si="34"/>
        <v>226</v>
      </c>
      <c r="C236" s="50">
        <f t="shared" si="35"/>
      </c>
      <c r="D236" s="50">
        <f t="shared" si="36"/>
      </c>
      <c r="E236" s="50">
        <f t="shared" si="37"/>
      </c>
      <c r="F236" s="50">
        <f t="shared" si="38"/>
        <v>0</v>
      </c>
      <c r="G236" s="21">
        <f t="shared" si="39"/>
      </c>
      <c r="H236" s="48">
        <f>IF(F235&lt;0.5,"",IF(OR(YEAR(A236)&lt;YEAR(A237),F236&lt;0.5),SUM($G$11:G236)-SUM($H$11:H235),""))</f>
      </c>
      <c r="I236" s="51">
        <f t="shared" si="40"/>
      </c>
      <c r="J236" s="51">
        <f t="shared" si="41"/>
      </c>
      <c r="K236" s="52">
        <f t="shared" si="42"/>
      </c>
      <c r="L236" s="48">
        <f t="shared" si="43"/>
      </c>
    </row>
    <row r="237" spans="1:12" ht="12.75">
      <c r="A237" s="6">
        <f t="shared" si="33"/>
        <v>47270</v>
      </c>
      <c r="B237" s="19">
        <f t="shared" si="34"/>
        <v>227</v>
      </c>
      <c r="C237" s="50">
        <f t="shared" si="35"/>
      </c>
      <c r="D237" s="50">
        <f t="shared" si="36"/>
      </c>
      <c r="E237" s="50">
        <f t="shared" si="37"/>
      </c>
      <c r="F237" s="50">
        <f t="shared" si="38"/>
        <v>0</v>
      </c>
      <c r="G237" s="21">
        <f t="shared" si="39"/>
      </c>
      <c r="H237" s="48">
        <f>IF(F236&lt;0.5,"",IF(OR(YEAR(A237)&lt;YEAR(A238),F237&lt;0.5),SUM($G$11:G237)-SUM($H$11:H236),""))</f>
      </c>
      <c r="I237" s="51">
        <f t="shared" si="40"/>
      </c>
      <c r="J237" s="51">
        <f t="shared" si="41"/>
      </c>
      <c r="K237" s="52">
        <f t="shared" si="42"/>
      </c>
      <c r="L237" s="48">
        <f t="shared" si="43"/>
      </c>
    </row>
    <row r="238" spans="1:12" ht="12.75">
      <c r="A238" s="6">
        <f t="shared" si="33"/>
        <v>47300</v>
      </c>
      <c r="B238" s="19">
        <f t="shared" si="34"/>
        <v>228</v>
      </c>
      <c r="C238" s="50">
        <f t="shared" si="35"/>
      </c>
      <c r="D238" s="50">
        <f t="shared" si="36"/>
      </c>
      <c r="E238" s="50">
        <f t="shared" si="37"/>
      </c>
      <c r="F238" s="50">
        <f t="shared" si="38"/>
        <v>0</v>
      </c>
      <c r="G238" s="21">
        <f t="shared" si="39"/>
      </c>
      <c r="H238" s="48">
        <f>IF(F237&lt;0.5,"",IF(OR(YEAR(A238)&lt;YEAR(A239),F238&lt;0.5),SUM($G$11:G238)-SUM($H$11:H237),""))</f>
      </c>
      <c r="I238" s="51">
        <f t="shared" si="40"/>
      </c>
      <c r="J238" s="51">
        <f t="shared" si="41"/>
      </c>
      <c r="K238" s="52">
        <f t="shared" si="42"/>
      </c>
      <c r="L238" s="48">
        <f t="shared" si="43"/>
      </c>
    </row>
    <row r="239" spans="1:12" ht="12.75">
      <c r="A239" s="6">
        <f t="shared" si="33"/>
        <v>47331</v>
      </c>
      <c r="B239" s="19">
        <f t="shared" si="34"/>
        <v>229</v>
      </c>
      <c r="C239" s="50">
        <f t="shared" si="35"/>
      </c>
      <c r="D239" s="50">
        <f t="shared" si="36"/>
      </c>
      <c r="E239" s="50">
        <f t="shared" si="37"/>
      </c>
      <c r="F239" s="50">
        <f t="shared" si="38"/>
        <v>0</v>
      </c>
      <c r="G239" s="21">
        <f t="shared" si="39"/>
      </c>
      <c r="H239" s="48">
        <f>IF(F238&lt;0.5,"",IF(OR(YEAR(A239)&lt;YEAR(A240),F239&lt;0.5),SUM($G$11:G239)-SUM($H$11:H238),""))</f>
      </c>
      <c r="I239" s="51">
        <f t="shared" si="40"/>
      </c>
      <c r="J239" s="51">
        <f t="shared" si="41"/>
      </c>
      <c r="K239" s="52">
        <f t="shared" si="42"/>
      </c>
      <c r="L239" s="48">
        <f t="shared" si="43"/>
      </c>
    </row>
    <row r="240" spans="1:12" ht="12.75">
      <c r="A240" s="6">
        <f t="shared" si="33"/>
        <v>47362</v>
      </c>
      <c r="B240" s="19">
        <f t="shared" si="34"/>
        <v>230</v>
      </c>
      <c r="C240" s="50">
        <f t="shared" si="35"/>
      </c>
      <c r="D240" s="50">
        <f t="shared" si="36"/>
      </c>
      <c r="E240" s="50">
        <f t="shared" si="37"/>
      </c>
      <c r="F240" s="50">
        <f t="shared" si="38"/>
        <v>0</v>
      </c>
      <c r="G240" s="21">
        <f t="shared" si="39"/>
      </c>
      <c r="H240" s="48">
        <f>IF(F239&lt;0.5,"",IF(OR(YEAR(A240)&lt;YEAR(A241),F240&lt;0.5),SUM($G$11:G240)-SUM($H$11:H239),""))</f>
      </c>
      <c r="I240" s="51">
        <f t="shared" si="40"/>
      </c>
      <c r="J240" s="51">
        <f t="shared" si="41"/>
      </c>
      <c r="K240" s="52">
        <f t="shared" si="42"/>
      </c>
      <c r="L240" s="48">
        <f t="shared" si="43"/>
      </c>
    </row>
    <row r="241" spans="1:12" ht="12.75">
      <c r="A241" s="6">
        <f t="shared" si="33"/>
        <v>47392</v>
      </c>
      <c r="B241" s="19">
        <f t="shared" si="34"/>
        <v>231</v>
      </c>
      <c r="C241" s="50">
        <f t="shared" si="35"/>
      </c>
      <c r="D241" s="50">
        <f t="shared" si="36"/>
      </c>
      <c r="E241" s="50">
        <f t="shared" si="37"/>
      </c>
      <c r="F241" s="50">
        <f t="shared" si="38"/>
        <v>0</v>
      </c>
      <c r="G241" s="21">
        <f t="shared" si="39"/>
      </c>
      <c r="H241" s="48">
        <f>IF(F240&lt;0.5,"",IF(OR(YEAR(A241)&lt;YEAR(A242),F241&lt;0.5),SUM($G$11:G241)-SUM($H$11:H240),""))</f>
      </c>
      <c r="I241" s="51">
        <f t="shared" si="40"/>
      </c>
      <c r="J241" s="51">
        <f t="shared" si="41"/>
      </c>
      <c r="K241" s="52">
        <f t="shared" si="42"/>
      </c>
      <c r="L241" s="48">
        <f t="shared" si="43"/>
      </c>
    </row>
    <row r="242" spans="1:12" ht="12.75">
      <c r="A242" s="6">
        <f t="shared" si="33"/>
        <v>47423</v>
      </c>
      <c r="B242" s="19">
        <f t="shared" si="34"/>
        <v>232</v>
      </c>
      <c r="C242" s="50">
        <f t="shared" si="35"/>
      </c>
      <c r="D242" s="50">
        <f t="shared" si="36"/>
      </c>
      <c r="E242" s="50">
        <f t="shared" si="37"/>
      </c>
      <c r="F242" s="50">
        <f t="shared" si="38"/>
        <v>0</v>
      </c>
      <c r="G242" s="21">
        <f t="shared" si="39"/>
      </c>
      <c r="H242" s="48">
        <f>IF(F241&lt;0.5,"",IF(OR(YEAR(A242)&lt;YEAR(A243),F242&lt;0.5),SUM($G$11:G242)-SUM($H$11:H241),""))</f>
      </c>
      <c r="I242" s="51">
        <f t="shared" si="40"/>
      </c>
      <c r="J242" s="51">
        <f t="shared" si="41"/>
      </c>
      <c r="K242" s="52">
        <f t="shared" si="42"/>
      </c>
      <c r="L242" s="48">
        <f t="shared" si="43"/>
      </c>
    </row>
    <row r="243" spans="1:12" ht="12.75">
      <c r="A243" s="6">
        <f t="shared" si="33"/>
        <v>47453</v>
      </c>
      <c r="B243" s="19">
        <f t="shared" si="34"/>
        <v>233</v>
      </c>
      <c r="C243" s="50">
        <f t="shared" si="35"/>
      </c>
      <c r="D243" s="50">
        <f t="shared" si="36"/>
      </c>
      <c r="E243" s="50">
        <f t="shared" si="37"/>
      </c>
      <c r="F243" s="50">
        <f t="shared" si="38"/>
        <v>0</v>
      </c>
      <c r="G243" s="21">
        <f t="shared" si="39"/>
      </c>
      <c r="H243" s="48">
        <f>IF(F242&lt;0.5,"",IF(OR(YEAR(A243)&lt;YEAR(A244),F243&lt;0.5),SUM($G$11:G243)-SUM($H$11:H242),""))</f>
      </c>
      <c r="I243" s="51">
        <f t="shared" si="40"/>
      </c>
      <c r="J243" s="51">
        <f t="shared" si="41"/>
      </c>
      <c r="K243" s="52">
        <f t="shared" si="42"/>
      </c>
      <c r="L243" s="48">
        <f t="shared" si="43"/>
      </c>
    </row>
    <row r="244" spans="1:12" ht="12.75">
      <c r="A244" s="6">
        <f t="shared" si="33"/>
        <v>47484</v>
      </c>
      <c r="B244" s="19">
        <f t="shared" si="34"/>
        <v>234</v>
      </c>
      <c r="C244" s="50">
        <f t="shared" si="35"/>
      </c>
      <c r="D244" s="50">
        <f t="shared" si="36"/>
      </c>
      <c r="E244" s="50">
        <f t="shared" si="37"/>
      </c>
      <c r="F244" s="50">
        <f t="shared" si="38"/>
        <v>0</v>
      </c>
      <c r="G244" s="21">
        <f t="shared" si="39"/>
      </c>
      <c r="H244" s="48">
        <f>IF(F243&lt;0.5,"",IF(OR(YEAR(A244)&lt;YEAR(A245),F244&lt;0.5),SUM($G$11:G244)-SUM($H$11:H243),""))</f>
      </c>
      <c r="I244" s="51">
        <f t="shared" si="40"/>
      </c>
      <c r="J244" s="51">
        <f t="shared" si="41"/>
      </c>
      <c r="K244" s="52">
        <f t="shared" si="42"/>
      </c>
      <c r="L244" s="48">
        <f t="shared" si="43"/>
      </c>
    </row>
    <row r="245" spans="1:12" ht="12.75">
      <c r="A245" s="6">
        <f t="shared" si="33"/>
        <v>47515</v>
      </c>
      <c r="B245" s="19">
        <f t="shared" si="34"/>
        <v>235</v>
      </c>
      <c r="C245" s="50">
        <f t="shared" si="35"/>
      </c>
      <c r="D245" s="50">
        <f t="shared" si="36"/>
      </c>
      <c r="E245" s="50">
        <f t="shared" si="37"/>
      </c>
      <c r="F245" s="50">
        <f t="shared" si="38"/>
        <v>0</v>
      </c>
      <c r="G245" s="21">
        <f t="shared" si="39"/>
      </c>
      <c r="H245" s="48">
        <f>IF(F244&lt;0.5,"",IF(OR(YEAR(A245)&lt;YEAR(A246),F245&lt;0.5),SUM($G$11:G245)-SUM($H$11:H244),""))</f>
      </c>
      <c r="I245" s="51">
        <f t="shared" si="40"/>
      </c>
      <c r="J245" s="51">
        <f t="shared" si="41"/>
      </c>
      <c r="K245" s="52">
        <f t="shared" si="42"/>
      </c>
      <c r="L245" s="48">
        <f t="shared" si="43"/>
      </c>
    </row>
    <row r="246" spans="1:12" ht="12.75">
      <c r="A246" s="6">
        <f t="shared" si="33"/>
        <v>47543</v>
      </c>
      <c r="B246" s="19">
        <f t="shared" si="34"/>
        <v>236</v>
      </c>
      <c r="C246" s="50">
        <f t="shared" si="35"/>
      </c>
      <c r="D246" s="50">
        <f t="shared" si="36"/>
      </c>
      <c r="E246" s="50">
        <f t="shared" si="37"/>
      </c>
      <c r="F246" s="50">
        <f t="shared" si="38"/>
        <v>0</v>
      </c>
      <c r="G246" s="21">
        <f t="shared" si="39"/>
      </c>
      <c r="H246" s="48">
        <f>IF(F245&lt;0.5,"",IF(OR(YEAR(A246)&lt;YEAR(A247),F246&lt;0.5),SUM($G$11:G246)-SUM($H$11:H245),""))</f>
      </c>
      <c r="I246" s="51">
        <f t="shared" si="40"/>
      </c>
      <c r="J246" s="51">
        <f t="shared" si="41"/>
      </c>
      <c r="K246" s="52">
        <f t="shared" si="42"/>
      </c>
      <c r="L246" s="48">
        <f t="shared" si="43"/>
      </c>
    </row>
    <row r="247" spans="1:12" ht="12.75">
      <c r="A247" s="6">
        <f t="shared" si="33"/>
        <v>47574</v>
      </c>
      <c r="B247" s="19">
        <f t="shared" si="34"/>
        <v>237</v>
      </c>
      <c r="C247" s="50">
        <f t="shared" si="35"/>
      </c>
      <c r="D247" s="50">
        <f t="shared" si="36"/>
      </c>
      <c r="E247" s="50">
        <f t="shared" si="37"/>
      </c>
      <c r="F247" s="50">
        <f t="shared" si="38"/>
        <v>0</v>
      </c>
      <c r="G247" s="21">
        <f t="shared" si="39"/>
      </c>
      <c r="H247" s="48">
        <f>IF(F246&lt;0.5,"",IF(OR(YEAR(A247)&lt;YEAR(A248),F247&lt;0.5),SUM($G$11:G247)-SUM($H$11:H246),""))</f>
      </c>
      <c r="I247" s="51">
        <f t="shared" si="40"/>
      </c>
      <c r="J247" s="51">
        <f t="shared" si="41"/>
      </c>
      <c r="K247" s="52">
        <f t="shared" si="42"/>
      </c>
      <c r="L247" s="48">
        <f t="shared" si="43"/>
      </c>
    </row>
    <row r="248" spans="1:12" ht="12.75">
      <c r="A248" s="6">
        <f t="shared" si="33"/>
        <v>47604</v>
      </c>
      <c r="B248" s="19">
        <f t="shared" si="34"/>
        <v>238</v>
      </c>
      <c r="C248" s="50">
        <f t="shared" si="35"/>
      </c>
      <c r="D248" s="50">
        <f t="shared" si="36"/>
      </c>
      <c r="E248" s="50">
        <f t="shared" si="37"/>
      </c>
      <c r="F248" s="50">
        <f t="shared" si="38"/>
        <v>0</v>
      </c>
      <c r="G248" s="21">
        <f t="shared" si="39"/>
      </c>
      <c r="H248" s="48">
        <f>IF(F247&lt;0.5,"",IF(OR(YEAR(A248)&lt;YEAR(A249),F248&lt;0.5),SUM($G$11:G248)-SUM($H$11:H247),""))</f>
      </c>
      <c r="I248" s="51">
        <f t="shared" si="40"/>
      </c>
      <c r="J248" s="51">
        <f t="shared" si="41"/>
      </c>
      <c r="K248" s="52">
        <f t="shared" si="42"/>
      </c>
      <c r="L248" s="48">
        <f t="shared" si="43"/>
      </c>
    </row>
    <row r="249" spans="1:12" ht="12.75">
      <c r="A249" s="6">
        <f t="shared" si="33"/>
        <v>47635</v>
      </c>
      <c r="B249" s="19">
        <f t="shared" si="34"/>
        <v>239</v>
      </c>
      <c r="C249" s="50">
        <f t="shared" si="35"/>
      </c>
      <c r="D249" s="50">
        <f t="shared" si="36"/>
      </c>
      <c r="E249" s="50">
        <f t="shared" si="37"/>
      </c>
      <c r="F249" s="50">
        <f t="shared" si="38"/>
        <v>0</v>
      </c>
      <c r="G249" s="21">
        <f t="shared" si="39"/>
      </c>
      <c r="H249" s="48">
        <f>IF(F248&lt;0.5,"",IF(OR(YEAR(A249)&lt;YEAR(A250),F249&lt;0.5),SUM($G$11:G249)-SUM($H$11:H248),""))</f>
      </c>
      <c r="I249" s="51">
        <f t="shared" si="40"/>
      </c>
      <c r="J249" s="51">
        <f t="shared" si="41"/>
      </c>
      <c r="K249" s="52">
        <f t="shared" si="42"/>
      </c>
      <c r="L249" s="48">
        <f t="shared" si="43"/>
      </c>
    </row>
    <row r="250" spans="1:12" ht="12.75">
      <c r="A250" s="6">
        <f t="shared" si="33"/>
        <v>47665</v>
      </c>
      <c r="B250" s="19">
        <f t="shared" si="34"/>
        <v>240</v>
      </c>
      <c r="C250" s="50">
        <f t="shared" si="35"/>
      </c>
      <c r="D250" s="50">
        <f t="shared" si="36"/>
      </c>
      <c r="E250" s="50">
        <f t="shared" si="37"/>
      </c>
      <c r="F250" s="50">
        <f t="shared" si="38"/>
        <v>0</v>
      </c>
      <c r="G250" s="21">
        <f t="shared" si="39"/>
      </c>
      <c r="H250" s="48">
        <f>IF(F249&lt;0.5,"",IF(OR(YEAR(A250)&lt;YEAR(A251),F250&lt;0.5),SUM($G$11:G250)-SUM($H$11:H249),""))</f>
      </c>
      <c r="I250" s="51">
        <f t="shared" si="40"/>
      </c>
      <c r="J250" s="51">
        <f t="shared" si="41"/>
      </c>
      <c r="K250" s="52">
        <f t="shared" si="42"/>
      </c>
      <c r="L250" s="48">
        <f t="shared" si="43"/>
      </c>
    </row>
    <row r="251" spans="1:12" ht="12.75">
      <c r="A251" s="6">
        <f t="shared" si="33"/>
        <v>47696</v>
      </c>
      <c r="B251" s="19">
        <f t="shared" si="34"/>
        <v>241</v>
      </c>
      <c r="C251" s="50">
        <f t="shared" si="35"/>
      </c>
      <c r="D251" s="50">
        <f t="shared" si="36"/>
      </c>
      <c r="E251" s="50">
        <f t="shared" si="37"/>
      </c>
      <c r="F251" s="50">
        <f t="shared" si="38"/>
        <v>0</v>
      </c>
      <c r="G251" s="21">
        <f t="shared" si="39"/>
      </c>
      <c r="H251" s="48">
        <f>IF(F250&lt;0.5,"",IF(OR(YEAR(A251)&lt;YEAR(A252),F251&lt;0.5),SUM($G$11:G251)-SUM($H$11:H250),""))</f>
      </c>
      <c r="I251" s="51">
        <f t="shared" si="40"/>
      </c>
      <c r="J251" s="51">
        <f t="shared" si="41"/>
      </c>
      <c r="K251" s="52">
        <f t="shared" si="42"/>
      </c>
      <c r="L251" s="48">
        <f t="shared" si="43"/>
      </c>
    </row>
    <row r="252" spans="1:12" ht="12.75">
      <c r="A252" s="6">
        <f t="shared" si="33"/>
        <v>47727</v>
      </c>
      <c r="B252" s="19">
        <f t="shared" si="34"/>
        <v>242</v>
      </c>
      <c r="C252" s="50">
        <f t="shared" si="35"/>
      </c>
      <c r="D252" s="50">
        <f t="shared" si="36"/>
      </c>
      <c r="E252" s="50">
        <f t="shared" si="37"/>
      </c>
      <c r="F252" s="50">
        <f t="shared" si="38"/>
        <v>0</v>
      </c>
      <c r="G252" s="21">
        <f t="shared" si="39"/>
      </c>
      <c r="H252" s="48">
        <f>IF(F251&lt;0.5,"",IF(OR(YEAR(A252)&lt;YEAR(A253),F252&lt;0.5),SUM($G$11:G252)-SUM($H$11:H251),""))</f>
      </c>
      <c r="I252" s="51">
        <f t="shared" si="40"/>
      </c>
      <c r="J252" s="51">
        <f t="shared" si="41"/>
      </c>
      <c r="K252" s="52">
        <f t="shared" si="42"/>
      </c>
      <c r="L252" s="48">
        <f t="shared" si="43"/>
      </c>
    </row>
    <row r="253" spans="1:12" ht="12.75">
      <c r="A253" s="6">
        <f t="shared" si="33"/>
        <v>47757</v>
      </c>
      <c r="B253" s="19">
        <f t="shared" si="34"/>
        <v>243</v>
      </c>
      <c r="C253" s="50">
        <f t="shared" si="35"/>
      </c>
      <c r="D253" s="50">
        <f t="shared" si="36"/>
      </c>
      <c r="E253" s="50">
        <f t="shared" si="37"/>
      </c>
      <c r="F253" s="50">
        <f t="shared" si="38"/>
        <v>0</v>
      </c>
      <c r="G253" s="21">
        <f t="shared" si="39"/>
      </c>
      <c r="H253" s="48">
        <f>IF(F252&lt;0.5,"",IF(OR(YEAR(A253)&lt;YEAR(A254),F253&lt;0.5),SUM($G$11:G253)-SUM($H$11:H252),""))</f>
      </c>
      <c r="I253" s="51">
        <f t="shared" si="40"/>
      </c>
      <c r="J253" s="51">
        <f t="shared" si="41"/>
      </c>
      <c r="K253" s="52">
        <f t="shared" si="42"/>
      </c>
      <c r="L253" s="48">
        <f t="shared" si="43"/>
      </c>
    </row>
    <row r="254" spans="1:12" ht="12.75">
      <c r="A254" s="6">
        <f t="shared" si="33"/>
        <v>47788</v>
      </c>
      <c r="B254" s="19">
        <f t="shared" si="34"/>
        <v>244</v>
      </c>
      <c r="C254" s="50">
        <f t="shared" si="35"/>
      </c>
      <c r="D254" s="50">
        <f t="shared" si="36"/>
      </c>
      <c r="E254" s="50">
        <f t="shared" si="37"/>
      </c>
      <c r="F254" s="50">
        <f t="shared" si="38"/>
        <v>0</v>
      </c>
      <c r="G254" s="21">
        <f t="shared" si="39"/>
      </c>
      <c r="H254" s="48">
        <f>IF(F253&lt;0.5,"",IF(OR(YEAR(A254)&lt;YEAR(A255),F254&lt;0.5),SUM($G$11:G254)-SUM($H$11:H253),""))</f>
      </c>
      <c r="I254" s="51">
        <f t="shared" si="40"/>
      </c>
      <c r="J254" s="51">
        <f t="shared" si="41"/>
      </c>
      <c r="K254" s="52">
        <f t="shared" si="42"/>
      </c>
      <c r="L254" s="48">
        <f t="shared" si="43"/>
      </c>
    </row>
    <row r="255" spans="1:12" ht="12.75">
      <c r="A255" s="6">
        <f t="shared" si="33"/>
        <v>47818</v>
      </c>
      <c r="B255" s="19">
        <f t="shared" si="34"/>
        <v>245</v>
      </c>
      <c r="C255" s="50">
        <f t="shared" si="35"/>
      </c>
      <c r="D255" s="50">
        <f t="shared" si="36"/>
      </c>
      <c r="E255" s="50">
        <f t="shared" si="37"/>
      </c>
      <c r="F255" s="50">
        <f t="shared" si="38"/>
        <v>0</v>
      </c>
      <c r="G255" s="21">
        <f t="shared" si="39"/>
      </c>
      <c r="H255" s="48">
        <f>IF(F254&lt;0.5,"",IF(OR(YEAR(A255)&lt;YEAR(A256),F255&lt;0.5),SUM($G$11:G255)-SUM($H$11:H254),""))</f>
      </c>
      <c r="I255" s="51">
        <f t="shared" si="40"/>
      </c>
      <c r="J255" s="51">
        <f t="shared" si="41"/>
      </c>
      <c r="K255" s="52">
        <f t="shared" si="42"/>
      </c>
      <c r="L255" s="48">
        <f t="shared" si="43"/>
      </c>
    </row>
    <row r="256" spans="1:12" ht="12.75">
      <c r="A256" s="6">
        <f t="shared" si="33"/>
        <v>47849</v>
      </c>
      <c r="B256" s="19">
        <f t="shared" si="34"/>
        <v>246</v>
      </c>
      <c r="C256" s="50">
        <f t="shared" si="35"/>
      </c>
      <c r="D256" s="50">
        <f t="shared" si="36"/>
      </c>
      <c r="E256" s="50">
        <f t="shared" si="37"/>
      </c>
      <c r="F256" s="50">
        <f t="shared" si="38"/>
        <v>0</v>
      </c>
      <c r="G256" s="21">
        <f t="shared" si="39"/>
      </c>
      <c r="H256" s="48">
        <f>IF(F255&lt;0.5,"",IF(OR(YEAR(A256)&lt;YEAR(A257),F256&lt;0.5),SUM($G$11:G256)-SUM($H$11:H255),""))</f>
      </c>
      <c r="I256" s="51">
        <f t="shared" si="40"/>
      </c>
      <c r="J256" s="51">
        <f t="shared" si="41"/>
      </c>
      <c r="K256" s="52">
        <f t="shared" si="42"/>
      </c>
      <c r="L256" s="48">
        <f t="shared" si="43"/>
      </c>
    </row>
    <row r="257" spans="1:12" ht="12.75">
      <c r="A257" s="6">
        <f t="shared" si="33"/>
        <v>47880</v>
      </c>
      <c r="B257" s="19">
        <f t="shared" si="34"/>
        <v>247</v>
      </c>
      <c r="C257" s="50">
        <f t="shared" si="35"/>
      </c>
      <c r="D257" s="50">
        <f t="shared" si="36"/>
      </c>
      <c r="E257" s="50">
        <f t="shared" si="37"/>
      </c>
      <c r="F257" s="50">
        <f t="shared" si="38"/>
        <v>0</v>
      </c>
      <c r="G257" s="21">
        <f t="shared" si="39"/>
      </c>
      <c r="H257" s="48">
        <f>IF(F256&lt;0.5,"",IF(OR(YEAR(A257)&lt;YEAR(A258),F257&lt;0.5),SUM($G$11:G257)-SUM($H$11:H256),""))</f>
      </c>
      <c r="I257" s="51">
        <f t="shared" si="40"/>
      </c>
      <c r="J257" s="51">
        <f t="shared" si="41"/>
      </c>
      <c r="K257" s="52">
        <f t="shared" si="42"/>
      </c>
      <c r="L257" s="48">
        <f t="shared" si="43"/>
      </c>
    </row>
    <row r="258" spans="1:12" ht="12.75">
      <c r="A258" s="6">
        <f t="shared" si="33"/>
        <v>47908</v>
      </c>
      <c r="B258" s="19">
        <f t="shared" si="34"/>
        <v>248</v>
      </c>
      <c r="C258" s="50">
        <f t="shared" si="35"/>
      </c>
      <c r="D258" s="50">
        <f t="shared" si="36"/>
      </c>
      <c r="E258" s="50">
        <f t="shared" si="37"/>
      </c>
      <c r="F258" s="50">
        <f t="shared" si="38"/>
        <v>0</v>
      </c>
      <c r="G258" s="21">
        <f t="shared" si="39"/>
      </c>
      <c r="H258" s="48">
        <f>IF(F257&lt;0.5,"",IF(OR(YEAR(A258)&lt;YEAR(A259),F258&lt;0.5),SUM($G$11:G258)-SUM($H$11:H257),""))</f>
      </c>
      <c r="I258" s="51">
        <f t="shared" si="40"/>
      </c>
      <c r="J258" s="51">
        <f t="shared" si="41"/>
      </c>
      <c r="K258" s="52">
        <f t="shared" si="42"/>
      </c>
      <c r="L258" s="48">
        <f t="shared" si="43"/>
      </c>
    </row>
    <row r="259" spans="1:12" ht="12.75">
      <c r="A259" s="6">
        <f t="shared" si="33"/>
        <v>47939</v>
      </c>
      <c r="B259" s="19">
        <f t="shared" si="34"/>
        <v>249</v>
      </c>
      <c r="C259" s="50">
        <f t="shared" si="35"/>
      </c>
      <c r="D259" s="50">
        <f t="shared" si="36"/>
      </c>
      <c r="E259" s="50">
        <f t="shared" si="37"/>
      </c>
      <c r="F259" s="50">
        <f t="shared" si="38"/>
        <v>0</v>
      </c>
      <c r="G259" s="21">
        <f t="shared" si="39"/>
      </c>
      <c r="H259" s="48">
        <f>IF(F258&lt;0.5,"",IF(OR(YEAR(A259)&lt;YEAR(A260),F259&lt;0.5),SUM($G$11:G259)-SUM($H$11:H258),""))</f>
      </c>
      <c r="I259" s="51">
        <f t="shared" si="40"/>
      </c>
      <c r="J259" s="51">
        <f t="shared" si="41"/>
      </c>
      <c r="K259" s="52">
        <f t="shared" si="42"/>
      </c>
      <c r="L259" s="48">
        <f t="shared" si="43"/>
      </c>
    </row>
    <row r="260" spans="1:12" ht="12.75">
      <c r="A260" s="6">
        <f t="shared" si="33"/>
        <v>47969</v>
      </c>
      <c r="B260" s="19">
        <f t="shared" si="34"/>
        <v>250</v>
      </c>
      <c r="C260" s="50">
        <f t="shared" si="35"/>
      </c>
      <c r="D260" s="50">
        <f t="shared" si="36"/>
      </c>
      <c r="E260" s="50">
        <f t="shared" si="37"/>
      </c>
      <c r="F260" s="50">
        <f t="shared" si="38"/>
        <v>0</v>
      </c>
      <c r="G260" s="21">
        <f t="shared" si="39"/>
      </c>
      <c r="H260" s="48">
        <f>IF(F259&lt;0.5,"",IF(OR(YEAR(A260)&lt;YEAR(A261),F260&lt;0.5),SUM($G$11:G260)-SUM($H$11:H259),""))</f>
      </c>
      <c r="I260" s="51">
        <f t="shared" si="40"/>
      </c>
      <c r="J260" s="51">
        <f t="shared" si="41"/>
      </c>
      <c r="K260" s="52">
        <f t="shared" si="42"/>
      </c>
      <c r="L260" s="48">
        <f t="shared" si="43"/>
      </c>
    </row>
    <row r="261" spans="1:12" ht="12.75">
      <c r="A261" s="6">
        <f t="shared" si="33"/>
        <v>48000</v>
      </c>
      <c r="B261" s="19">
        <f t="shared" si="34"/>
        <v>251</v>
      </c>
      <c r="C261" s="50">
        <f t="shared" si="35"/>
      </c>
      <c r="D261" s="50">
        <f t="shared" si="36"/>
      </c>
      <c r="E261" s="50">
        <f t="shared" si="37"/>
      </c>
      <c r="F261" s="50">
        <f t="shared" si="38"/>
        <v>0</v>
      </c>
      <c r="G261" s="21">
        <f t="shared" si="39"/>
      </c>
      <c r="H261" s="48">
        <f>IF(F260&lt;0.5,"",IF(OR(YEAR(A261)&lt;YEAR(A262),F261&lt;0.5),SUM($G$11:G261)-SUM($H$11:H260),""))</f>
      </c>
      <c r="I261" s="51">
        <f t="shared" si="40"/>
      </c>
      <c r="J261" s="51">
        <f t="shared" si="41"/>
      </c>
      <c r="K261" s="52">
        <f t="shared" si="42"/>
      </c>
      <c r="L261" s="48">
        <f t="shared" si="43"/>
      </c>
    </row>
    <row r="262" spans="1:12" ht="12.75">
      <c r="A262" s="6">
        <f t="shared" si="33"/>
        <v>48030</v>
      </c>
      <c r="B262" s="19">
        <f t="shared" si="34"/>
        <v>252</v>
      </c>
      <c r="C262" s="50">
        <f t="shared" si="35"/>
      </c>
      <c r="D262" s="50">
        <f t="shared" si="36"/>
      </c>
      <c r="E262" s="50">
        <f t="shared" si="37"/>
      </c>
      <c r="F262" s="50">
        <f t="shared" si="38"/>
        <v>0</v>
      </c>
      <c r="G262" s="21">
        <f t="shared" si="39"/>
      </c>
      <c r="H262" s="48">
        <f>IF(F261&lt;0.5,"",IF(OR(YEAR(A262)&lt;YEAR(A263),F262&lt;0.5),SUM($G$11:G262)-SUM($H$11:H261),""))</f>
      </c>
      <c r="I262" s="51">
        <f t="shared" si="40"/>
      </c>
      <c r="J262" s="51">
        <f t="shared" si="41"/>
      </c>
      <c r="K262" s="52">
        <f t="shared" si="42"/>
      </c>
      <c r="L262" s="48">
        <f t="shared" si="43"/>
      </c>
    </row>
    <row r="263" spans="1:12" ht="12.75">
      <c r="A263" s="6">
        <f t="shared" si="33"/>
        <v>48061</v>
      </c>
      <c r="B263" s="19">
        <f t="shared" si="34"/>
        <v>253</v>
      </c>
      <c r="C263" s="50">
        <f t="shared" si="35"/>
      </c>
      <c r="D263" s="50">
        <f t="shared" si="36"/>
      </c>
      <c r="E263" s="50">
        <f t="shared" si="37"/>
      </c>
      <c r="F263" s="50">
        <f t="shared" si="38"/>
        <v>0</v>
      </c>
      <c r="G263" s="21">
        <f t="shared" si="39"/>
      </c>
      <c r="H263" s="48">
        <f>IF(F262&lt;0.5,"",IF(OR(YEAR(A263)&lt;YEAR(A264),F263&lt;0.5),SUM($G$11:G263)-SUM($H$11:H262),""))</f>
      </c>
      <c r="I263" s="51">
        <f t="shared" si="40"/>
      </c>
      <c r="J263" s="51">
        <f t="shared" si="41"/>
      </c>
      <c r="K263" s="52">
        <f t="shared" si="42"/>
      </c>
      <c r="L263" s="48">
        <f t="shared" si="43"/>
      </c>
    </row>
    <row r="264" spans="1:12" ht="12.75">
      <c r="A264" s="6">
        <f t="shared" si="33"/>
        <v>48092</v>
      </c>
      <c r="B264" s="19">
        <f t="shared" si="34"/>
        <v>254</v>
      </c>
      <c r="C264" s="50">
        <f t="shared" si="35"/>
      </c>
      <c r="D264" s="50">
        <f t="shared" si="36"/>
      </c>
      <c r="E264" s="50">
        <f t="shared" si="37"/>
      </c>
      <c r="F264" s="50">
        <f t="shared" si="38"/>
        <v>0</v>
      </c>
      <c r="G264" s="21">
        <f t="shared" si="39"/>
      </c>
      <c r="H264" s="48">
        <f>IF(F263&lt;0.5,"",IF(OR(YEAR(A264)&lt;YEAR(A265),F264&lt;0.5),SUM($G$11:G264)-SUM($H$11:H263),""))</f>
      </c>
      <c r="I264" s="51">
        <f t="shared" si="40"/>
      </c>
      <c r="J264" s="51">
        <f t="shared" si="41"/>
      </c>
      <c r="K264" s="52">
        <f t="shared" si="42"/>
      </c>
      <c r="L264" s="48">
        <f t="shared" si="43"/>
      </c>
    </row>
    <row r="265" spans="1:12" ht="12.75">
      <c r="A265" s="6">
        <f t="shared" si="33"/>
        <v>48122</v>
      </c>
      <c r="B265" s="19">
        <f t="shared" si="34"/>
        <v>255</v>
      </c>
      <c r="C265" s="50">
        <f t="shared" si="35"/>
      </c>
      <c r="D265" s="50">
        <f t="shared" si="36"/>
      </c>
      <c r="E265" s="50">
        <f t="shared" si="37"/>
      </c>
      <c r="F265" s="50">
        <f t="shared" si="38"/>
        <v>0</v>
      </c>
      <c r="G265" s="21">
        <f t="shared" si="39"/>
      </c>
      <c r="H265" s="48">
        <f>IF(F264&lt;0.5,"",IF(OR(YEAR(A265)&lt;YEAR(A266),F265&lt;0.5),SUM($G$11:G265)-SUM($H$11:H264),""))</f>
      </c>
      <c r="I265" s="51">
        <f t="shared" si="40"/>
      </c>
      <c r="J265" s="51">
        <f t="shared" si="41"/>
      </c>
      <c r="K265" s="52">
        <f t="shared" si="42"/>
      </c>
      <c r="L265" s="48">
        <f t="shared" si="43"/>
      </c>
    </row>
    <row r="266" spans="1:12" ht="12.75">
      <c r="A266" s="6">
        <f t="shared" si="33"/>
        <v>48153</v>
      </c>
      <c r="B266" s="19">
        <f t="shared" si="34"/>
        <v>256</v>
      </c>
      <c r="C266" s="50">
        <f t="shared" si="35"/>
      </c>
      <c r="D266" s="50">
        <f t="shared" si="36"/>
      </c>
      <c r="E266" s="50">
        <f t="shared" si="37"/>
      </c>
      <c r="F266" s="50">
        <f t="shared" si="38"/>
        <v>0</v>
      </c>
      <c r="G266" s="21">
        <f t="shared" si="39"/>
      </c>
      <c r="H266" s="48">
        <f>IF(F265&lt;0.5,"",IF(OR(YEAR(A266)&lt;YEAR(A267),F266&lt;0.5),SUM($G$11:G266)-SUM($H$11:H265),""))</f>
      </c>
      <c r="I266" s="51">
        <f t="shared" si="40"/>
      </c>
      <c r="J266" s="51">
        <f t="shared" si="41"/>
      </c>
      <c r="K266" s="52">
        <f t="shared" si="42"/>
      </c>
      <c r="L266" s="48">
        <f t="shared" si="43"/>
      </c>
    </row>
    <row r="267" spans="1:12" ht="12.75">
      <c r="A267" s="6">
        <f t="shared" si="33"/>
        <v>48183</v>
      </c>
      <c r="B267" s="19">
        <f t="shared" si="34"/>
        <v>257</v>
      </c>
      <c r="C267" s="50">
        <f t="shared" si="35"/>
      </c>
      <c r="D267" s="50">
        <f t="shared" si="36"/>
      </c>
      <c r="E267" s="50">
        <f t="shared" si="37"/>
      </c>
      <c r="F267" s="50">
        <f t="shared" si="38"/>
        <v>0</v>
      </c>
      <c r="G267" s="21">
        <f t="shared" si="39"/>
      </c>
      <c r="H267" s="48">
        <f>IF(F266&lt;0.5,"",IF(OR(YEAR(A267)&lt;YEAR(A268),F267&lt;0.5),SUM($G$11:G267)-SUM($H$11:H266),""))</f>
      </c>
      <c r="I267" s="51">
        <f t="shared" si="40"/>
      </c>
      <c r="J267" s="51">
        <f t="shared" si="41"/>
      </c>
      <c r="K267" s="52">
        <f t="shared" si="42"/>
      </c>
      <c r="L267" s="48">
        <f t="shared" si="43"/>
      </c>
    </row>
    <row r="268" spans="1:12" ht="12.75">
      <c r="A268" s="6">
        <f aca="true" t="shared" si="44" ref="A268:A331">IF($C$6&lt;27,DATE((YEAR(A267)-1900),MONTH(A267)+1,$C$6),DATE((YEAR(A267)-1900),MONTH(A267)+2,1)-1)</f>
        <v>48214</v>
      </c>
      <c r="B268" s="19">
        <f aca="true" t="shared" si="45" ref="B268:B331">B267+1</f>
        <v>258</v>
      </c>
      <c r="C268" s="50">
        <f aca="true" t="shared" si="46" ref="C268:C331">IF(F267&gt;0.5,C267,"")</f>
      </c>
      <c r="D268" s="50">
        <f aca="true" t="shared" si="47" ref="D268:D331">IF(F267&gt;0.5,$I$3*F267,"")</f>
      </c>
      <c r="E268" s="50">
        <f aca="true" t="shared" si="48" ref="E268:E331">IF(F267&gt;0.5,C268-D268,"")</f>
      </c>
      <c r="F268" s="50">
        <f aca="true" t="shared" si="49" ref="F268:F331">IF(F267&gt;0.5,F267-E268,0)</f>
        <v>0</v>
      </c>
      <c r="G268" s="21">
        <f aca="true" t="shared" si="50" ref="G268:G331">IF(F267&gt;0.5,D268*$I$5,"")</f>
      </c>
      <c r="H268" s="48">
        <f>IF(F267&lt;0.5,"",IF(OR(YEAR(A268)&lt;YEAR(A269),F268&lt;0.5),SUM($G$11:G268)-SUM($H$11:H267),""))</f>
      </c>
      <c r="I268" s="51">
        <f aca="true" t="shared" si="51" ref="I268:I331">IF(F267&gt;0.5,I267+D268,"")</f>
      </c>
      <c r="J268" s="51">
        <f aca="true" t="shared" si="52" ref="J268:J331">IF(F267&gt;0.5,J267+E268,"")</f>
      </c>
      <c r="K268" s="52">
        <f aca="true" t="shared" si="53" ref="K268:K331">IF(F267&gt;0.5,C268/(1+$I$4)^B268+K267,"")</f>
      </c>
      <c r="L268" s="48">
        <f aca="true" t="shared" si="54" ref="L268:L331">IF(F267&lt;0.5,"",IF(H268="",L267,H268/(1+$I$4)^B268+L267))</f>
      </c>
    </row>
    <row r="269" spans="1:12" ht="12.75">
      <c r="A269" s="6">
        <f t="shared" si="44"/>
        <v>48245</v>
      </c>
      <c r="B269" s="19">
        <f t="shared" si="45"/>
        <v>259</v>
      </c>
      <c r="C269" s="50">
        <f t="shared" si="46"/>
      </c>
      <c r="D269" s="50">
        <f t="shared" si="47"/>
      </c>
      <c r="E269" s="50">
        <f t="shared" si="48"/>
      </c>
      <c r="F269" s="50">
        <f t="shared" si="49"/>
        <v>0</v>
      </c>
      <c r="G269" s="21">
        <f t="shared" si="50"/>
      </c>
      <c r="H269" s="48">
        <f>IF(F268&lt;0.5,"",IF(OR(YEAR(A269)&lt;YEAR(A270),F269&lt;0.5),SUM($G$11:G269)-SUM($H$11:H268),""))</f>
      </c>
      <c r="I269" s="51">
        <f t="shared" si="51"/>
      </c>
      <c r="J269" s="51">
        <f t="shared" si="52"/>
      </c>
      <c r="K269" s="52">
        <f t="shared" si="53"/>
      </c>
      <c r="L269" s="48">
        <f t="shared" si="54"/>
      </c>
    </row>
    <row r="270" spans="1:12" ht="12.75">
      <c r="A270" s="6">
        <f t="shared" si="44"/>
        <v>48274</v>
      </c>
      <c r="B270" s="19">
        <f t="shared" si="45"/>
        <v>260</v>
      </c>
      <c r="C270" s="50">
        <f t="shared" si="46"/>
      </c>
      <c r="D270" s="50">
        <f t="shared" si="47"/>
      </c>
      <c r="E270" s="50">
        <f t="shared" si="48"/>
      </c>
      <c r="F270" s="50">
        <f t="shared" si="49"/>
        <v>0</v>
      </c>
      <c r="G270" s="21">
        <f t="shared" si="50"/>
      </c>
      <c r="H270" s="48">
        <f>IF(F269&lt;0.5,"",IF(OR(YEAR(A270)&lt;YEAR(A271),F270&lt;0.5),SUM($G$11:G270)-SUM($H$11:H269),""))</f>
      </c>
      <c r="I270" s="51">
        <f t="shared" si="51"/>
      </c>
      <c r="J270" s="51">
        <f t="shared" si="52"/>
      </c>
      <c r="K270" s="52">
        <f t="shared" si="53"/>
      </c>
      <c r="L270" s="48">
        <f t="shared" si="54"/>
      </c>
    </row>
    <row r="271" spans="1:12" ht="12.75">
      <c r="A271" s="6">
        <f t="shared" si="44"/>
        <v>48305</v>
      </c>
      <c r="B271" s="19">
        <f t="shared" si="45"/>
        <v>261</v>
      </c>
      <c r="C271" s="50">
        <f t="shared" si="46"/>
      </c>
      <c r="D271" s="50">
        <f t="shared" si="47"/>
      </c>
      <c r="E271" s="50">
        <f t="shared" si="48"/>
      </c>
      <c r="F271" s="50">
        <f t="shared" si="49"/>
        <v>0</v>
      </c>
      <c r="G271" s="21">
        <f t="shared" si="50"/>
      </c>
      <c r="H271" s="48">
        <f>IF(F270&lt;0.5,"",IF(OR(YEAR(A271)&lt;YEAR(A272),F271&lt;0.5),SUM($G$11:G271)-SUM($H$11:H270),""))</f>
      </c>
      <c r="I271" s="51">
        <f t="shared" si="51"/>
      </c>
      <c r="J271" s="51">
        <f t="shared" si="52"/>
      </c>
      <c r="K271" s="52">
        <f t="shared" si="53"/>
      </c>
      <c r="L271" s="48">
        <f t="shared" si="54"/>
      </c>
    </row>
    <row r="272" spans="1:12" ht="12.75">
      <c r="A272" s="6">
        <f t="shared" si="44"/>
        <v>48335</v>
      </c>
      <c r="B272" s="19">
        <f t="shared" si="45"/>
        <v>262</v>
      </c>
      <c r="C272" s="50">
        <f t="shared" si="46"/>
      </c>
      <c r="D272" s="50">
        <f t="shared" si="47"/>
      </c>
      <c r="E272" s="50">
        <f t="shared" si="48"/>
      </c>
      <c r="F272" s="50">
        <f t="shared" si="49"/>
        <v>0</v>
      </c>
      <c r="G272" s="21">
        <f t="shared" si="50"/>
      </c>
      <c r="H272" s="48">
        <f>IF(F271&lt;0.5,"",IF(OR(YEAR(A272)&lt;YEAR(A273),F272&lt;0.5),SUM($G$11:G272)-SUM($H$11:H271),""))</f>
      </c>
      <c r="I272" s="51">
        <f t="shared" si="51"/>
      </c>
      <c r="J272" s="51">
        <f t="shared" si="52"/>
      </c>
      <c r="K272" s="52">
        <f t="shared" si="53"/>
      </c>
      <c r="L272" s="48">
        <f t="shared" si="54"/>
      </c>
    </row>
    <row r="273" spans="1:12" ht="12.75">
      <c r="A273" s="6">
        <f t="shared" si="44"/>
        <v>48366</v>
      </c>
      <c r="B273" s="19">
        <f t="shared" si="45"/>
        <v>263</v>
      </c>
      <c r="C273" s="50">
        <f t="shared" si="46"/>
      </c>
      <c r="D273" s="50">
        <f t="shared" si="47"/>
      </c>
      <c r="E273" s="50">
        <f t="shared" si="48"/>
      </c>
      <c r="F273" s="50">
        <f t="shared" si="49"/>
        <v>0</v>
      </c>
      <c r="G273" s="21">
        <f t="shared" si="50"/>
      </c>
      <c r="H273" s="48">
        <f>IF(F272&lt;0.5,"",IF(OR(YEAR(A273)&lt;YEAR(A274),F273&lt;0.5),SUM($G$11:G273)-SUM($H$11:H272),""))</f>
      </c>
      <c r="I273" s="51">
        <f t="shared" si="51"/>
      </c>
      <c r="J273" s="51">
        <f t="shared" si="52"/>
      </c>
      <c r="K273" s="52">
        <f t="shared" si="53"/>
      </c>
      <c r="L273" s="48">
        <f t="shared" si="54"/>
      </c>
    </row>
    <row r="274" spans="1:12" ht="12.75">
      <c r="A274" s="6">
        <f t="shared" si="44"/>
        <v>48396</v>
      </c>
      <c r="B274" s="19">
        <f t="shared" si="45"/>
        <v>264</v>
      </c>
      <c r="C274" s="50">
        <f t="shared" si="46"/>
      </c>
      <c r="D274" s="50">
        <f t="shared" si="47"/>
      </c>
      <c r="E274" s="50">
        <f t="shared" si="48"/>
      </c>
      <c r="F274" s="50">
        <f t="shared" si="49"/>
        <v>0</v>
      </c>
      <c r="G274" s="21">
        <f t="shared" si="50"/>
      </c>
      <c r="H274" s="48">
        <f>IF(F273&lt;0.5,"",IF(OR(YEAR(A274)&lt;YEAR(A275),F274&lt;0.5),SUM($G$11:G274)-SUM($H$11:H273),""))</f>
      </c>
      <c r="I274" s="51">
        <f t="shared" si="51"/>
      </c>
      <c r="J274" s="51">
        <f t="shared" si="52"/>
      </c>
      <c r="K274" s="52">
        <f t="shared" si="53"/>
      </c>
      <c r="L274" s="48">
        <f t="shared" si="54"/>
      </c>
    </row>
    <row r="275" spans="1:12" ht="12.75">
      <c r="A275" s="6">
        <f t="shared" si="44"/>
        <v>48427</v>
      </c>
      <c r="B275" s="19">
        <f t="shared" si="45"/>
        <v>265</v>
      </c>
      <c r="C275" s="50">
        <f t="shared" si="46"/>
      </c>
      <c r="D275" s="50">
        <f t="shared" si="47"/>
      </c>
      <c r="E275" s="50">
        <f t="shared" si="48"/>
      </c>
      <c r="F275" s="50">
        <f t="shared" si="49"/>
        <v>0</v>
      </c>
      <c r="G275" s="21">
        <f t="shared" si="50"/>
      </c>
      <c r="H275" s="48">
        <f>IF(F274&lt;0.5,"",IF(OR(YEAR(A275)&lt;YEAR(A276),F275&lt;0.5),SUM($G$11:G275)-SUM($H$11:H274),""))</f>
      </c>
      <c r="I275" s="51">
        <f t="shared" si="51"/>
      </c>
      <c r="J275" s="51">
        <f t="shared" si="52"/>
      </c>
      <c r="K275" s="52">
        <f t="shared" si="53"/>
      </c>
      <c r="L275" s="48">
        <f t="shared" si="54"/>
      </c>
    </row>
    <row r="276" spans="1:12" ht="12.75">
      <c r="A276" s="6">
        <f t="shared" si="44"/>
        <v>48458</v>
      </c>
      <c r="B276" s="19">
        <f t="shared" si="45"/>
        <v>266</v>
      </c>
      <c r="C276" s="50">
        <f t="shared" si="46"/>
      </c>
      <c r="D276" s="50">
        <f t="shared" si="47"/>
      </c>
      <c r="E276" s="50">
        <f t="shared" si="48"/>
      </c>
      <c r="F276" s="50">
        <f t="shared" si="49"/>
        <v>0</v>
      </c>
      <c r="G276" s="21">
        <f t="shared" si="50"/>
      </c>
      <c r="H276" s="48">
        <f>IF(F275&lt;0.5,"",IF(OR(YEAR(A276)&lt;YEAR(A277),F276&lt;0.5),SUM($G$11:G276)-SUM($H$11:H275),""))</f>
      </c>
      <c r="I276" s="51">
        <f t="shared" si="51"/>
      </c>
      <c r="J276" s="51">
        <f t="shared" si="52"/>
      </c>
      <c r="K276" s="52">
        <f t="shared" si="53"/>
      </c>
      <c r="L276" s="48">
        <f t="shared" si="54"/>
      </c>
    </row>
    <row r="277" spans="1:12" ht="12.75">
      <c r="A277" s="6">
        <f t="shared" si="44"/>
        <v>48488</v>
      </c>
      <c r="B277" s="19">
        <f t="shared" si="45"/>
        <v>267</v>
      </c>
      <c r="C277" s="50">
        <f t="shared" si="46"/>
      </c>
      <c r="D277" s="50">
        <f t="shared" si="47"/>
      </c>
      <c r="E277" s="50">
        <f t="shared" si="48"/>
      </c>
      <c r="F277" s="50">
        <f t="shared" si="49"/>
        <v>0</v>
      </c>
      <c r="G277" s="21">
        <f t="shared" si="50"/>
      </c>
      <c r="H277" s="48">
        <f>IF(F276&lt;0.5,"",IF(OR(YEAR(A277)&lt;YEAR(A278),F277&lt;0.5),SUM($G$11:G277)-SUM($H$11:H276),""))</f>
      </c>
      <c r="I277" s="51">
        <f t="shared" si="51"/>
      </c>
      <c r="J277" s="51">
        <f t="shared" si="52"/>
      </c>
      <c r="K277" s="52">
        <f t="shared" si="53"/>
      </c>
      <c r="L277" s="48">
        <f t="shared" si="54"/>
      </c>
    </row>
    <row r="278" spans="1:12" ht="12.75">
      <c r="A278" s="6">
        <f t="shared" si="44"/>
        <v>48519</v>
      </c>
      <c r="B278" s="19">
        <f t="shared" si="45"/>
        <v>268</v>
      </c>
      <c r="C278" s="50">
        <f t="shared" si="46"/>
      </c>
      <c r="D278" s="50">
        <f t="shared" si="47"/>
      </c>
      <c r="E278" s="50">
        <f t="shared" si="48"/>
      </c>
      <c r="F278" s="50">
        <f t="shared" si="49"/>
        <v>0</v>
      </c>
      <c r="G278" s="21">
        <f t="shared" si="50"/>
      </c>
      <c r="H278" s="48">
        <f>IF(F277&lt;0.5,"",IF(OR(YEAR(A278)&lt;YEAR(A279),F278&lt;0.5),SUM($G$11:G278)-SUM($H$11:H277),""))</f>
      </c>
      <c r="I278" s="51">
        <f t="shared" si="51"/>
      </c>
      <c r="J278" s="51">
        <f t="shared" si="52"/>
      </c>
      <c r="K278" s="52">
        <f t="shared" si="53"/>
      </c>
      <c r="L278" s="48">
        <f t="shared" si="54"/>
      </c>
    </row>
    <row r="279" spans="1:12" ht="12.75">
      <c r="A279" s="6">
        <f t="shared" si="44"/>
        <v>48549</v>
      </c>
      <c r="B279" s="19">
        <f t="shared" si="45"/>
        <v>269</v>
      </c>
      <c r="C279" s="50">
        <f t="shared" si="46"/>
      </c>
      <c r="D279" s="50">
        <f t="shared" si="47"/>
      </c>
      <c r="E279" s="50">
        <f t="shared" si="48"/>
      </c>
      <c r="F279" s="50">
        <f t="shared" si="49"/>
        <v>0</v>
      </c>
      <c r="G279" s="21">
        <f t="shared" si="50"/>
      </c>
      <c r="H279" s="48">
        <f>IF(F278&lt;0.5,"",IF(OR(YEAR(A279)&lt;YEAR(A280),F279&lt;0.5),SUM($G$11:G279)-SUM($H$11:H278),""))</f>
      </c>
      <c r="I279" s="51">
        <f t="shared" si="51"/>
      </c>
      <c r="J279" s="51">
        <f t="shared" si="52"/>
      </c>
      <c r="K279" s="52">
        <f t="shared" si="53"/>
      </c>
      <c r="L279" s="48">
        <f t="shared" si="54"/>
      </c>
    </row>
    <row r="280" spans="1:12" ht="12.75">
      <c r="A280" s="6">
        <f t="shared" si="44"/>
        <v>48580</v>
      </c>
      <c r="B280" s="19">
        <f t="shared" si="45"/>
        <v>270</v>
      </c>
      <c r="C280" s="50">
        <f t="shared" si="46"/>
      </c>
      <c r="D280" s="50">
        <f t="shared" si="47"/>
      </c>
      <c r="E280" s="50">
        <f t="shared" si="48"/>
      </c>
      <c r="F280" s="50">
        <f t="shared" si="49"/>
        <v>0</v>
      </c>
      <c r="G280" s="21">
        <f t="shared" si="50"/>
      </c>
      <c r="H280" s="48">
        <f>IF(F279&lt;0.5,"",IF(OR(YEAR(A280)&lt;YEAR(A281),F280&lt;0.5),SUM($G$11:G280)-SUM($H$11:H279),""))</f>
      </c>
      <c r="I280" s="51">
        <f t="shared" si="51"/>
      </c>
      <c r="J280" s="51">
        <f t="shared" si="52"/>
      </c>
      <c r="K280" s="52">
        <f t="shared" si="53"/>
      </c>
      <c r="L280" s="48">
        <f t="shared" si="54"/>
      </c>
    </row>
    <row r="281" spans="1:12" ht="12.75">
      <c r="A281" s="6">
        <f t="shared" si="44"/>
        <v>48611</v>
      </c>
      <c r="B281" s="19">
        <f t="shared" si="45"/>
        <v>271</v>
      </c>
      <c r="C281" s="50">
        <f t="shared" si="46"/>
      </c>
      <c r="D281" s="50">
        <f t="shared" si="47"/>
      </c>
      <c r="E281" s="50">
        <f t="shared" si="48"/>
      </c>
      <c r="F281" s="50">
        <f t="shared" si="49"/>
        <v>0</v>
      </c>
      <c r="G281" s="21">
        <f t="shared" si="50"/>
      </c>
      <c r="H281" s="48">
        <f>IF(F280&lt;0.5,"",IF(OR(YEAR(A281)&lt;YEAR(A282),F281&lt;0.5),SUM($G$11:G281)-SUM($H$11:H280),""))</f>
      </c>
      <c r="I281" s="51">
        <f t="shared" si="51"/>
      </c>
      <c r="J281" s="51">
        <f t="shared" si="52"/>
      </c>
      <c r="K281" s="52">
        <f t="shared" si="53"/>
      </c>
      <c r="L281" s="48">
        <f t="shared" si="54"/>
      </c>
    </row>
    <row r="282" spans="1:12" ht="12.75">
      <c r="A282" s="6">
        <f t="shared" si="44"/>
        <v>48639</v>
      </c>
      <c r="B282" s="19">
        <f t="shared" si="45"/>
        <v>272</v>
      </c>
      <c r="C282" s="50">
        <f t="shared" si="46"/>
      </c>
      <c r="D282" s="50">
        <f t="shared" si="47"/>
      </c>
      <c r="E282" s="50">
        <f t="shared" si="48"/>
      </c>
      <c r="F282" s="50">
        <f t="shared" si="49"/>
        <v>0</v>
      </c>
      <c r="G282" s="21">
        <f t="shared" si="50"/>
      </c>
      <c r="H282" s="48">
        <f>IF(F281&lt;0.5,"",IF(OR(YEAR(A282)&lt;YEAR(A283),F282&lt;0.5),SUM($G$11:G282)-SUM($H$11:H281),""))</f>
      </c>
      <c r="I282" s="51">
        <f t="shared" si="51"/>
      </c>
      <c r="J282" s="51">
        <f t="shared" si="52"/>
      </c>
      <c r="K282" s="52">
        <f t="shared" si="53"/>
      </c>
      <c r="L282" s="48">
        <f t="shared" si="54"/>
      </c>
    </row>
    <row r="283" spans="1:12" ht="12.75">
      <c r="A283" s="6">
        <f t="shared" si="44"/>
        <v>48670</v>
      </c>
      <c r="B283" s="19">
        <f t="shared" si="45"/>
        <v>273</v>
      </c>
      <c r="C283" s="50">
        <f t="shared" si="46"/>
      </c>
      <c r="D283" s="50">
        <f t="shared" si="47"/>
      </c>
      <c r="E283" s="50">
        <f t="shared" si="48"/>
      </c>
      <c r="F283" s="50">
        <f t="shared" si="49"/>
        <v>0</v>
      </c>
      <c r="G283" s="21">
        <f t="shared" si="50"/>
      </c>
      <c r="H283" s="48">
        <f>IF(F282&lt;0.5,"",IF(OR(YEAR(A283)&lt;YEAR(A284),F283&lt;0.5),SUM($G$11:G283)-SUM($H$11:H282),""))</f>
      </c>
      <c r="I283" s="51">
        <f t="shared" si="51"/>
      </c>
      <c r="J283" s="51">
        <f t="shared" si="52"/>
      </c>
      <c r="K283" s="52">
        <f t="shared" si="53"/>
      </c>
      <c r="L283" s="48">
        <f t="shared" si="54"/>
      </c>
    </row>
    <row r="284" spans="1:12" ht="12.75">
      <c r="A284" s="6">
        <f t="shared" si="44"/>
        <v>48700</v>
      </c>
      <c r="B284" s="19">
        <f t="shared" si="45"/>
        <v>274</v>
      </c>
      <c r="C284" s="50">
        <f t="shared" si="46"/>
      </c>
      <c r="D284" s="50">
        <f t="shared" si="47"/>
      </c>
      <c r="E284" s="50">
        <f t="shared" si="48"/>
      </c>
      <c r="F284" s="50">
        <f t="shared" si="49"/>
        <v>0</v>
      </c>
      <c r="G284" s="21">
        <f t="shared" si="50"/>
      </c>
      <c r="H284" s="48">
        <f>IF(F283&lt;0.5,"",IF(OR(YEAR(A284)&lt;YEAR(A285),F284&lt;0.5),SUM($G$11:G284)-SUM($H$11:H283),""))</f>
      </c>
      <c r="I284" s="51">
        <f t="shared" si="51"/>
      </c>
      <c r="J284" s="51">
        <f t="shared" si="52"/>
      </c>
      <c r="K284" s="52">
        <f t="shared" si="53"/>
      </c>
      <c r="L284" s="48">
        <f t="shared" si="54"/>
      </c>
    </row>
    <row r="285" spans="1:12" ht="12.75">
      <c r="A285" s="6">
        <f t="shared" si="44"/>
        <v>48731</v>
      </c>
      <c r="B285" s="19">
        <f t="shared" si="45"/>
        <v>275</v>
      </c>
      <c r="C285" s="50">
        <f t="shared" si="46"/>
      </c>
      <c r="D285" s="50">
        <f t="shared" si="47"/>
      </c>
      <c r="E285" s="50">
        <f t="shared" si="48"/>
      </c>
      <c r="F285" s="50">
        <f t="shared" si="49"/>
        <v>0</v>
      </c>
      <c r="G285" s="21">
        <f t="shared" si="50"/>
      </c>
      <c r="H285" s="48">
        <f>IF(F284&lt;0.5,"",IF(OR(YEAR(A285)&lt;YEAR(A286),F285&lt;0.5),SUM($G$11:G285)-SUM($H$11:H284),""))</f>
      </c>
      <c r="I285" s="51">
        <f t="shared" si="51"/>
      </c>
      <c r="J285" s="51">
        <f t="shared" si="52"/>
      </c>
      <c r="K285" s="52">
        <f t="shared" si="53"/>
      </c>
      <c r="L285" s="48">
        <f t="shared" si="54"/>
      </c>
    </row>
    <row r="286" spans="1:12" ht="12.75">
      <c r="A286" s="6">
        <f t="shared" si="44"/>
        <v>48761</v>
      </c>
      <c r="B286" s="19">
        <f t="shared" si="45"/>
        <v>276</v>
      </c>
      <c r="C286" s="50">
        <f t="shared" si="46"/>
      </c>
      <c r="D286" s="50">
        <f t="shared" si="47"/>
      </c>
      <c r="E286" s="50">
        <f t="shared" si="48"/>
      </c>
      <c r="F286" s="50">
        <f t="shared" si="49"/>
        <v>0</v>
      </c>
      <c r="G286" s="21">
        <f t="shared" si="50"/>
      </c>
      <c r="H286" s="48">
        <f>IF(F285&lt;0.5,"",IF(OR(YEAR(A286)&lt;YEAR(A287),F286&lt;0.5),SUM($G$11:G286)-SUM($H$11:H285),""))</f>
      </c>
      <c r="I286" s="51">
        <f t="shared" si="51"/>
      </c>
      <c r="J286" s="51">
        <f t="shared" si="52"/>
      </c>
      <c r="K286" s="52">
        <f t="shared" si="53"/>
      </c>
      <c r="L286" s="48">
        <f t="shared" si="54"/>
      </c>
    </row>
    <row r="287" spans="1:12" ht="12.75">
      <c r="A287" s="6">
        <f t="shared" si="44"/>
        <v>48792</v>
      </c>
      <c r="B287" s="19">
        <f t="shared" si="45"/>
        <v>277</v>
      </c>
      <c r="C287" s="50">
        <f t="shared" si="46"/>
      </c>
      <c r="D287" s="50">
        <f t="shared" si="47"/>
      </c>
      <c r="E287" s="50">
        <f t="shared" si="48"/>
      </c>
      <c r="F287" s="50">
        <f t="shared" si="49"/>
        <v>0</v>
      </c>
      <c r="G287" s="21">
        <f t="shared" si="50"/>
      </c>
      <c r="H287" s="48">
        <f>IF(F286&lt;0.5,"",IF(OR(YEAR(A287)&lt;YEAR(A288),F287&lt;0.5),SUM($G$11:G287)-SUM($H$11:H286),""))</f>
      </c>
      <c r="I287" s="51">
        <f t="shared" si="51"/>
      </c>
      <c r="J287" s="51">
        <f t="shared" si="52"/>
      </c>
      <c r="K287" s="52">
        <f t="shared" si="53"/>
      </c>
      <c r="L287" s="48">
        <f t="shared" si="54"/>
      </c>
    </row>
    <row r="288" spans="1:12" ht="12.75">
      <c r="A288" s="6">
        <f t="shared" si="44"/>
        <v>48823</v>
      </c>
      <c r="B288" s="19">
        <f t="shared" si="45"/>
        <v>278</v>
      </c>
      <c r="C288" s="50">
        <f t="shared" si="46"/>
      </c>
      <c r="D288" s="50">
        <f t="shared" si="47"/>
      </c>
      <c r="E288" s="50">
        <f t="shared" si="48"/>
      </c>
      <c r="F288" s="50">
        <f t="shared" si="49"/>
        <v>0</v>
      </c>
      <c r="G288" s="21">
        <f t="shared" si="50"/>
      </c>
      <c r="H288" s="48">
        <f>IF(F287&lt;0.5,"",IF(OR(YEAR(A288)&lt;YEAR(A289),F288&lt;0.5),SUM($G$11:G288)-SUM($H$11:H287),""))</f>
      </c>
      <c r="I288" s="51">
        <f t="shared" si="51"/>
      </c>
      <c r="J288" s="51">
        <f t="shared" si="52"/>
      </c>
      <c r="K288" s="52">
        <f t="shared" si="53"/>
      </c>
      <c r="L288" s="48">
        <f t="shared" si="54"/>
      </c>
    </row>
    <row r="289" spans="1:12" ht="12.75">
      <c r="A289" s="6">
        <f t="shared" si="44"/>
        <v>48853</v>
      </c>
      <c r="B289" s="19">
        <f t="shared" si="45"/>
        <v>279</v>
      </c>
      <c r="C289" s="50">
        <f t="shared" si="46"/>
      </c>
      <c r="D289" s="50">
        <f t="shared" si="47"/>
      </c>
      <c r="E289" s="50">
        <f t="shared" si="48"/>
      </c>
      <c r="F289" s="50">
        <f t="shared" si="49"/>
        <v>0</v>
      </c>
      <c r="G289" s="21">
        <f t="shared" si="50"/>
      </c>
      <c r="H289" s="48">
        <f>IF(F288&lt;0.5,"",IF(OR(YEAR(A289)&lt;YEAR(A290),F289&lt;0.5),SUM($G$11:G289)-SUM($H$11:H288),""))</f>
      </c>
      <c r="I289" s="51">
        <f t="shared" si="51"/>
      </c>
      <c r="J289" s="51">
        <f t="shared" si="52"/>
      </c>
      <c r="K289" s="52">
        <f t="shared" si="53"/>
      </c>
      <c r="L289" s="48">
        <f t="shared" si="54"/>
      </c>
    </row>
    <row r="290" spans="1:12" ht="12.75">
      <c r="A290" s="6">
        <f t="shared" si="44"/>
        <v>48884</v>
      </c>
      <c r="B290" s="19">
        <f t="shared" si="45"/>
        <v>280</v>
      </c>
      <c r="C290" s="50">
        <f t="shared" si="46"/>
      </c>
      <c r="D290" s="50">
        <f t="shared" si="47"/>
      </c>
      <c r="E290" s="50">
        <f t="shared" si="48"/>
      </c>
      <c r="F290" s="50">
        <f t="shared" si="49"/>
        <v>0</v>
      </c>
      <c r="G290" s="21">
        <f t="shared" si="50"/>
      </c>
      <c r="H290" s="48">
        <f>IF(F289&lt;0.5,"",IF(OR(YEAR(A290)&lt;YEAR(A291),F290&lt;0.5),SUM($G$11:G290)-SUM($H$11:H289),""))</f>
      </c>
      <c r="I290" s="51">
        <f t="shared" si="51"/>
      </c>
      <c r="J290" s="51">
        <f t="shared" si="52"/>
      </c>
      <c r="K290" s="52">
        <f t="shared" si="53"/>
      </c>
      <c r="L290" s="48">
        <f t="shared" si="54"/>
      </c>
    </row>
    <row r="291" spans="1:12" ht="12.75">
      <c r="A291" s="6">
        <f t="shared" si="44"/>
        <v>48914</v>
      </c>
      <c r="B291" s="19">
        <f t="shared" si="45"/>
        <v>281</v>
      </c>
      <c r="C291" s="50">
        <f t="shared" si="46"/>
      </c>
      <c r="D291" s="50">
        <f t="shared" si="47"/>
      </c>
      <c r="E291" s="50">
        <f t="shared" si="48"/>
      </c>
      <c r="F291" s="50">
        <f t="shared" si="49"/>
        <v>0</v>
      </c>
      <c r="G291" s="21">
        <f t="shared" si="50"/>
      </c>
      <c r="H291" s="48">
        <f>IF(F290&lt;0.5,"",IF(OR(YEAR(A291)&lt;YEAR(A292),F291&lt;0.5),SUM($G$11:G291)-SUM($H$11:H290),""))</f>
      </c>
      <c r="I291" s="51">
        <f t="shared" si="51"/>
      </c>
      <c r="J291" s="51">
        <f t="shared" si="52"/>
      </c>
      <c r="K291" s="52">
        <f t="shared" si="53"/>
      </c>
      <c r="L291" s="48">
        <f t="shared" si="54"/>
      </c>
    </row>
    <row r="292" spans="1:12" ht="12.75">
      <c r="A292" s="6">
        <f t="shared" si="44"/>
        <v>48945</v>
      </c>
      <c r="B292" s="19">
        <f t="shared" si="45"/>
        <v>282</v>
      </c>
      <c r="C292" s="50">
        <f t="shared" si="46"/>
      </c>
      <c r="D292" s="50">
        <f t="shared" si="47"/>
      </c>
      <c r="E292" s="50">
        <f t="shared" si="48"/>
      </c>
      <c r="F292" s="50">
        <f t="shared" si="49"/>
        <v>0</v>
      </c>
      <c r="G292" s="21">
        <f t="shared" si="50"/>
      </c>
      <c r="H292" s="48">
        <f>IF(F291&lt;0.5,"",IF(OR(YEAR(A292)&lt;YEAR(A293),F292&lt;0.5),SUM($G$11:G292)-SUM($H$11:H291),""))</f>
      </c>
      <c r="I292" s="51">
        <f t="shared" si="51"/>
      </c>
      <c r="J292" s="51">
        <f t="shared" si="52"/>
      </c>
      <c r="K292" s="52">
        <f t="shared" si="53"/>
      </c>
      <c r="L292" s="48">
        <f t="shared" si="54"/>
      </c>
    </row>
    <row r="293" spans="1:12" ht="12.75">
      <c r="A293" s="6">
        <f t="shared" si="44"/>
        <v>48976</v>
      </c>
      <c r="B293" s="19">
        <f t="shared" si="45"/>
        <v>283</v>
      </c>
      <c r="C293" s="50">
        <f t="shared" si="46"/>
      </c>
      <c r="D293" s="50">
        <f t="shared" si="47"/>
      </c>
      <c r="E293" s="50">
        <f t="shared" si="48"/>
      </c>
      <c r="F293" s="50">
        <f t="shared" si="49"/>
        <v>0</v>
      </c>
      <c r="G293" s="21">
        <f t="shared" si="50"/>
      </c>
      <c r="H293" s="48">
        <f>IF(F292&lt;0.5,"",IF(OR(YEAR(A293)&lt;YEAR(A294),F293&lt;0.5),SUM($G$11:G293)-SUM($H$11:H292),""))</f>
      </c>
      <c r="I293" s="51">
        <f t="shared" si="51"/>
      </c>
      <c r="J293" s="51">
        <f t="shared" si="52"/>
      </c>
      <c r="K293" s="52">
        <f t="shared" si="53"/>
      </c>
      <c r="L293" s="48">
        <f t="shared" si="54"/>
      </c>
    </row>
    <row r="294" spans="1:12" ht="12.75">
      <c r="A294" s="6">
        <f t="shared" si="44"/>
        <v>49004</v>
      </c>
      <c r="B294" s="19">
        <f t="shared" si="45"/>
        <v>284</v>
      </c>
      <c r="C294" s="50">
        <f t="shared" si="46"/>
      </c>
      <c r="D294" s="50">
        <f t="shared" si="47"/>
      </c>
      <c r="E294" s="50">
        <f t="shared" si="48"/>
      </c>
      <c r="F294" s="50">
        <f t="shared" si="49"/>
        <v>0</v>
      </c>
      <c r="G294" s="21">
        <f t="shared" si="50"/>
      </c>
      <c r="H294" s="48">
        <f>IF(F293&lt;0.5,"",IF(OR(YEAR(A294)&lt;YEAR(A295),F294&lt;0.5),SUM($G$11:G294)-SUM($H$11:H293),""))</f>
      </c>
      <c r="I294" s="51">
        <f t="shared" si="51"/>
      </c>
      <c r="J294" s="51">
        <f t="shared" si="52"/>
      </c>
      <c r="K294" s="52">
        <f t="shared" si="53"/>
      </c>
      <c r="L294" s="48">
        <f t="shared" si="54"/>
      </c>
    </row>
    <row r="295" spans="1:12" ht="12.75">
      <c r="A295" s="6">
        <f t="shared" si="44"/>
        <v>49035</v>
      </c>
      <c r="B295" s="19">
        <f t="shared" si="45"/>
        <v>285</v>
      </c>
      <c r="C295" s="50">
        <f t="shared" si="46"/>
      </c>
      <c r="D295" s="50">
        <f t="shared" si="47"/>
      </c>
      <c r="E295" s="50">
        <f t="shared" si="48"/>
      </c>
      <c r="F295" s="50">
        <f t="shared" si="49"/>
        <v>0</v>
      </c>
      <c r="G295" s="21">
        <f t="shared" si="50"/>
      </c>
      <c r="H295" s="48">
        <f>IF(F294&lt;0.5,"",IF(OR(YEAR(A295)&lt;YEAR(A296),F295&lt;0.5),SUM($G$11:G295)-SUM($H$11:H294),""))</f>
      </c>
      <c r="I295" s="51">
        <f t="shared" si="51"/>
      </c>
      <c r="J295" s="51">
        <f t="shared" si="52"/>
      </c>
      <c r="K295" s="52">
        <f t="shared" si="53"/>
      </c>
      <c r="L295" s="48">
        <f t="shared" si="54"/>
      </c>
    </row>
    <row r="296" spans="1:12" ht="12.75">
      <c r="A296" s="6">
        <f t="shared" si="44"/>
        <v>49065</v>
      </c>
      <c r="B296" s="19">
        <f t="shared" si="45"/>
        <v>286</v>
      </c>
      <c r="C296" s="50">
        <f t="shared" si="46"/>
      </c>
      <c r="D296" s="50">
        <f t="shared" si="47"/>
      </c>
      <c r="E296" s="50">
        <f t="shared" si="48"/>
      </c>
      <c r="F296" s="50">
        <f t="shared" si="49"/>
        <v>0</v>
      </c>
      <c r="G296" s="21">
        <f t="shared" si="50"/>
      </c>
      <c r="H296" s="48">
        <f>IF(F295&lt;0.5,"",IF(OR(YEAR(A296)&lt;YEAR(A297),F296&lt;0.5),SUM($G$11:G296)-SUM($H$11:H295),""))</f>
      </c>
      <c r="I296" s="51">
        <f t="shared" si="51"/>
      </c>
      <c r="J296" s="51">
        <f t="shared" si="52"/>
      </c>
      <c r="K296" s="52">
        <f t="shared" si="53"/>
      </c>
      <c r="L296" s="48">
        <f t="shared" si="54"/>
      </c>
    </row>
    <row r="297" spans="1:12" ht="12.75">
      <c r="A297" s="6">
        <f t="shared" si="44"/>
        <v>49096</v>
      </c>
      <c r="B297" s="19">
        <f t="shared" si="45"/>
        <v>287</v>
      </c>
      <c r="C297" s="50">
        <f t="shared" si="46"/>
      </c>
      <c r="D297" s="50">
        <f t="shared" si="47"/>
      </c>
      <c r="E297" s="50">
        <f t="shared" si="48"/>
      </c>
      <c r="F297" s="50">
        <f t="shared" si="49"/>
        <v>0</v>
      </c>
      <c r="G297" s="21">
        <f t="shared" si="50"/>
      </c>
      <c r="H297" s="48">
        <f>IF(F296&lt;0.5,"",IF(OR(YEAR(A297)&lt;YEAR(A298),F297&lt;0.5),SUM($G$11:G297)-SUM($H$11:H296),""))</f>
      </c>
      <c r="I297" s="51">
        <f t="shared" si="51"/>
      </c>
      <c r="J297" s="51">
        <f t="shared" si="52"/>
      </c>
      <c r="K297" s="52">
        <f t="shared" si="53"/>
      </c>
      <c r="L297" s="48">
        <f t="shared" si="54"/>
      </c>
    </row>
    <row r="298" spans="1:12" ht="12.75">
      <c r="A298" s="6">
        <f t="shared" si="44"/>
        <v>49126</v>
      </c>
      <c r="B298" s="19">
        <f t="shared" si="45"/>
        <v>288</v>
      </c>
      <c r="C298" s="50">
        <f t="shared" si="46"/>
      </c>
      <c r="D298" s="50">
        <f t="shared" si="47"/>
      </c>
      <c r="E298" s="50">
        <f t="shared" si="48"/>
      </c>
      <c r="F298" s="50">
        <f t="shared" si="49"/>
        <v>0</v>
      </c>
      <c r="G298" s="21">
        <f t="shared" si="50"/>
      </c>
      <c r="H298" s="48">
        <f>IF(F297&lt;0.5,"",IF(OR(YEAR(A298)&lt;YEAR(A299),F298&lt;0.5),SUM($G$11:G298)-SUM($H$11:H297),""))</f>
      </c>
      <c r="I298" s="51">
        <f t="shared" si="51"/>
      </c>
      <c r="J298" s="51">
        <f t="shared" si="52"/>
      </c>
      <c r="K298" s="52">
        <f t="shared" si="53"/>
      </c>
      <c r="L298" s="48">
        <f t="shared" si="54"/>
      </c>
    </row>
    <row r="299" spans="1:12" ht="12.75">
      <c r="A299" s="6">
        <f t="shared" si="44"/>
        <v>49157</v>
      </c>
      <c r="B299" s="19">
        <f t="shared" si="45"/>
        <v>289</v>
      </c>
      <c r="C299" s="50">
        <f t="shared" si="46"/>
      </c>
      <c r="D299" s="50">
        <f t="shared" si="47"/>
      </c>
      <c r="E299" s="50">
        <f t="shared" si="48"/>
      </c>
      <c r="F299" s="50">
        <f t="shared" si="49"/>
        <v>0</v>
      </c>
      <c r="G299" s="21">
        <f t="shared" si="50"/>
      </c>
      <c r="H299" s="48">
        <f>IF(F298&lt;0.5,"",IF(OR(YEAR(A299)&lt;YEAR(A300),F299&lt;0.5),SUM($G$11:G299)-SUM($H$11:H298),""))</f>
      </c>
      <c r="I299" s="51">
        <f t="shared" si="51"/>
      </c>
      <c r="J299" s="51">
        <f t="shared" si="52"/>
      </c>
      <c r="K299" s="52">
        <f t="shared" si="53"/>
      </c>
      <c r="L299" s="48">
        <f t="shared" si="54"/>
      </c>
    </row>
    <row r="300" spans="1:12" ht="12.75">
      <c r="A300" s="6">
        <f t="shared" si="44"/>
        <v>49188</v>
      </c>
      <c r="B300" s="19">
        <f t="shared" si="45"/>
        <v>290</v>
      </c>
      <c r="C300" s="50">
        <f t="shared" si="46"/>
      </c>
      <c r="D300" s="50">
        <f t="shared" si="47"/>
      </c>
      <c r="E300" s="50">
        <f t="shared" si="48"/>
      </c>
      <c r="F300" s="50">
        <f t="shared" si="49"/>
        <v>0</v>
      </c>
      <c r="G300" s="21">
        <f t="shared" si="50"/>
      </c>
      <c r="H300" s="48">
        <f>IF(F299&lt;0.5,"",IF(OR(YEAR(A300)&lt;YEAR(A301),F300&lt;0.5),SUM($G$11:G300)-SUM($H$11:H299),""))</f>
      </c>
      <c r="I300" s="51">
        <f t="shared" si="51"/>
      </c>
      <c r="J300" s="51">
        <f t="shared" si="52"/>
      </c>
      <c r="K300" s="52">
        <f t="shared" si="53"/>
      </c>
      <c r="L300" s="48">
        <f t="shared" si="54"/>
      </c>
    </row>
    <row r="301" spans="1:12" ht="12.75">
      <c r="A301" s="6">
        <f t="shared" si="44"/>
        <v>49218</v>
      </c>
      <c r="B301" s="19">
        <f t="shared" si="45"/>
        <v>291</v>
      </c>
      <c r="C301" s="50">
        <f t="shared" si="46"/>
      </c>
      <c r="D301" s="50">
        <f t="shared" si="47"/>
      </c>
      <c r="E301" s="50">
        <f t="shared" si="48"/>
      </c>
      <c r="F301" s="50">
        <f t="shared" si="49"/>
        <v>0</v>
      </c>
      <c r="G301" s="21">
        <f t="shared" si="50"/>
      </c>
      <c r="H301" s="48">
        <f>IF(F300&lt;0.5,"",IF(OR(YEAR(A301)&lt;YEAR(A302),F301&lt;0.5),SUM($G$11:G301)-SUM($H$11:H300),""))</f>
      </c>
      <c r="I301" s="51">
        <f t="shared" si="51"/>
      </c>
      <c r="J301" s="51">
        <f t="shared" si="52"/>
      </c>
      <c r="K301" s="52">
        <f t="shared" si="53"/>
      </c>
      <c r="L301" s="48">
        <f t="shared" si="54"/>
      </c>
    </row>
    <row r="302" spans="1:12" ht="12.75">
      <c r="A302" s="6">
        <f t="shared" si="44"/>
        <v>49249</v>
      </c>
      <c r="B302" s="19">
        <f t="shared" si="45"/>
        <v>292</v>
      </c>
      <c r="C302" s="50">
        <f t="shared" si="46"/>
      </c>
      <c r="D302" s="50">
        <f t="shared" si="47"/>
      </c>
      <c r="E302" s="50">
        <f t="shared" si="48"/>
      </c>
      <c r="F302" s="50">
        <f t="shared" si="49"/>
        <v>0</v>
      </c>
      <c r="G302" s="21">
        <f t="shared" si="50"/>
      </c>
      <c r="H302" s="48">
        <f>IF(F301&lt;0.5,"",IF(OR(YEAR(A302)&lt;YEAR(A303),F302&lt;0.5),SUM($G$11:G302)-SUM($H$11:H301),""))</f>
      </c>
      <c r="I302" s="51">
        <f t="shared" si="51"/>
      </c>
      <c r="J302" s="51">
        <f t="shared" si="52"/>
      </c>
      <c r="K302" s="52">
        <f t="shared" si="53"/>
      </c>
      <c r="L302" s="48">
        <f t="shared" si="54"/>
      </c>
    </row>
    <row r="303" spans="1:12" ht="12.75">
      <c r="A303" s="6">
        <f t="shared" si="44"/>
        <v>49279</v>
      </c>
      <c r="B303" s="19">
        <f t="shared" si="45"/>
        <v>293</v>
      </c>
      <c r="C303" s="50">
        <f t="shared" si="46"/>
      </c>
      <c r="D303" s="50">
        <f t="shared" si="47"/>
      </c>
      <c r="E303" s="50">
        <f t="shared" si="48"/>
      </c>
      <c r="F303" s="50">
        <f t="shared" si="49"/>
        <v>0</v>
      </c>
      <c r="G303" s="21">
        <f t="shared" si="50"/>
      </c>
      <c r="H303" s="48">
        <f>IF(F302&lt;0.5,"",IF(OR(YEAR(A303)&lt;YEAR(A304),F303&lt;0.5),SUM($G$11:G303)-SUM($H$11:H302),""))</f>
      </c>
      <c r="I303" s="51">
        <f t="shared" si="51"/>
      </c>
      <c r="J303" s="51">
        <f t="shared" si="52"/>
      </c>
      <c r="K303" s="52">
        <f t="shared" si="53"/>
      </c>
      <c r="L303" s="48">
        <f t="shared" si="54"/>
      </c>
    </row>
    <row r="304" spans="1:12" ht="12.75">
      <c r="A304" s="6">
        <f t="shared" si="44"/>
        <v>49310</v>
      </c>
      <c r="B304" s="19">
        <f t="shared" si="45"/>
        <v>294</v>
      </c>
      <c r="C304" s="50">
        <f t="shared" si="46"/>
      </c>
      <c r="D304" s="50">
        <f t="shared" si="47"/>
      </c>
      <c r="E304" s="50">
        <f t="shared" si="48"/>
      </c>
      <c r="F304" s="50">
        <f t="shared" si="49"/>
        <v>0</v>
      </c>
      <c r="G304" s="21">
        <f t="shared" si="50"/>
      </c>
      <c r="H304" s="48">
        <f>IF(F303&lt;0.5,"",IF(OR(YEAR(A304)&lt;YEAR(A305),F304&lt;0.5),SUM($G$11:G304)-SUM($H$11:H303),""))</f>
      </c>
      <c r="I304" s="51">
        <f t="shared" si="51"/>
      </c>
      <c r="J304" s="51">
        <f t="shared" si="52"/>
      </c>
      <c r="K304" s="52">
        <f t="shared" si="53"/>
      </c>
      <c r="L304" s="48">
        <f t="shared" si="54"/>
      </c>
    </row>
    <row r="305" spans="1:12" ht="12.75">
      <c r="A305" s="6">
        <f t="shared" si="44"/>
        <v>49341</v>
      </c>
      <c r="B305" s="19">
        <f t="shared" si="45"/>
        <v>295</v>
      </c>
      <c r="C305" s="50">
        <f t="shared" si="46"/>
      </c>
      <c r="D305" s="50">
        <f t="shared" si="47"/>
      </c>
      <c r="E305" s="50">
        <f t="shared" si="48"/>
      </c>
      <c r="F305" s="50">
        <f t="shared" si="49"/>
        <v>0</v>
      </c>
      <c r="G305" s="21">
        <f t="shared" si="50"/>
      </c>
      <c r="H305" s="48">
        <f>IF(F304&lt;0.5,"",IF(OR(YEAR(A305)&lt;YEAR(A306),F305&lt;0.5),SUM($G$11:G305)-SUM($H$11:H304),""))</f>
      </c>
      <c r="I305" s="51">
        <f t="shared" si="51"/>
      </c>
      <c r="J305" s="51">
        <f t="shared" si="52"/>
      </c>
      <c r="K305" s="52">
        <f t="shared" si="53"/>
      </c>
      <c r="L305" s="48">
        <f t="shared" si="54"/>
      </c>
    </row>
    <row r="306" spans="1:12" ht="12.75">
      <c r="A306" s="6">
        <f t="shared" si="44"/>
        <v>49369</v>
      </c>
      <c r="B306" s="19">
        <f t="shared" si="45"/>
        <v>296</v>
      </c>
      <c r="C306" s="50">
        <f t="shared" si="46"/>
      </c>
      <c r="D306" s="50">
        <f t="shared" si="47"/>
      </c>
      <c r="E306" s="50">
        <f t="shared" si="48"/>
      </c>
      <c r="F306" s="50">
        <f t="shared" si="49"/>
        <v>0</v>
      </c>
      <c r="G306" s="21">
        <f t="shared" si="50"/>
      </c>
      <c r="H306" s="48">
        <f>IF(F305&lt;0.5,"",IF(OR(YEAR(A306)&lt;YEAR(A307),F306&lt;0.5),SUM($G$11:G306)-SUM($H$11:H305),""))</f>
      </c>
      <c r="I306" s="51">
        <f t="shared" si="51"/>
      </c>
      <c r="J306" s="51">
        <f t="shared" si="52"/>
      </c>
      <c r="K306" s="52">
        <f t="shared" si="53"/>
      </c>
      <c r="L306" s="48">
        <f t="shared" si="54"/>
      </c>
    </row>
    <row r="307" spans="1:12" ht="12.75">
      <c r="A307" s="6">
        <f t="shared" si="44"/>
        <v>49400</v>
      </c>
      <c r="B307" s="19">
        <f t="shared" si="45"/>
        <v>297</v>
      </c>
      <c r="C307" s="50">
        <f t="shared" si="46"/>
      </c>
      <c r="D307" s="50">
        <f t="shared" si="47"/>
      </c>
      <c r="E307" s="50">
        <f t="shared" si="48"/>
      </c>
      <c r="F307" s="50">
        <f t="shared" si="49"/>
        <v>0</v>
      </c>
      <c r="G307" s="21">
        <f t="shared" si="50"/>
      </c>
      <c r="H307" s="48">
        <f>IF(F306&lt;0.5,"",IF(OR(YEAR(A307)&lt;YEAR(A308),F307&lt;0.5),SUM($G$11:G307)-SUM($H$11:H306),""))</f>
      </c>
      <c r="I307" s="51">
        <f t="shared" si="51"/>
      </c>
      <c r="J307" s="51">
        <f t="shared" si="52"/>
      </c>
      <c r="K307" s="52">
        <f t="shared" si="53"/>
      </c>
      <c r="L307" s="48">
        <f t="shared" si="54"/>
      </c>
    </row>
    <row r="308" spans="1:12" ht="12.75">
      <c r="A308" s="6">
        <f t="shared" si="44"/>
        <v>49430</v>
      </c>
      <c r="B308" s="19">
        <f t="shared" si="45"/>
        <v>298</v>
      </c>
      <c r="C308" s="50">
        <f t="shared" si="46"/>
      </c>
      <c r="D308" s="50">
        <f t="shared" si="47"/>
      </c>
      <c r="E308" s="50">
        <f t="shared" si="48"/>
      </c>
      <c r="F308" s="50">
        <f t="shared" si="49"/>
        <v>0</v>
      </c>
      <c r="G308" s="21">
        <f t="shared" si="50"/>
      </c>
      <c r="H308" s="48">
        <f>IF(F307&lt;0.5,"",IF(OR(YEAR(A308)&lt;YEAR(A309),F308&lt;0.5),SUM($G$11:G308)-SUM($H$11:H307),""))</f>
      </c>
      <c r="I308" s="51">
        <f t="shared" si="51"/>
      </c>
      <c r="J308" s="51">
        <f t="shared" si="52"/>
      </c>
      <c r="K308" s="52">
        <f t="shared" si="53"/>
      </c>
      <c r="L308" s="48">
        <f t="shared" si="54"/>
      </c>
    </row>
    <row r="309" spans="1:12" ht="12.75">
      <c r="A309" s="6">
        <f t="shared" si="44"/>
        <v>49461</v>
      </c>
      <c r="B309" s="19">
        <f t="shared" si="45"/>
        <v>299</v>
      </c>
      <c r="C309" s="50">
        <f t="shared" si="46"/>
      </c>
      <c r="D309" s="50">
        <f t="shared" si="47"/>
      </c>
      <c r="E309" s="50">
        <f t="shared" si="48"/>
      </c>
      <c r="F309" s="50">
        <f t="shared" si="49"/>
        <v>0</v>
      </c>
      <c r="G309" s="21">
        <f t="shared" si="50"/>
      </c>
      <c r="H309" s="48">
        <f>IF(F308&lt;0.5,"",IF(OR(YEAR(A309)&lt;YEAR(A310),F309&lt;0.5),SUM($G$11:G309)-SUM($H$11:H308),""))</f>
      </c>
      <c r="I309" s="51">
        <f t="shared" si="51"/>
      </c>
      <c r="J309" s="51">
        <f t="shared" si="52"/>
      </c>
      <c r="K309" s="52">
        <f t="shared" si="53"/>
      </c>
      <c r="L309" s="48">
        <f t="shared" si="54"/>
      </c>
    </row>
    <row r="310" spans="1:12" ht="12.75">
      <c r="A310" s="6">
        <f t="shared" si="44"/>
        <v>49491</v>
      </c>
      <c r="B310" s="19">
        <f t="shared" si="45"/>
        <v>300</v>
      </c>
      <c r="C310" s="50">
        <f t="shared" si="46"/>
      </c>
      <c r="D310" s="50">
        <f t="shared" si="47"/>
      </c>
      <c r="E310" s="50">
        <f t="shared" si="48"/>
      </c>
      <c r="F310" s="50">
        <f t="shared" si="49"/>
        <v>0</v>
      </c>
      <c r="G310" s="21">
        <f t="shared" si="50"/>
      </c>
      <c r="H310" s="48">
        <f>IF(F309&lt;0.5,"",IF(OR(YEAR(A310)&lt;YEAR(A311),F310&lt;0.5),SUM($G$11:G310)-SUM($H$11:H309),""))</f>
      </c>
      <c r="I310" s="51">
        <f t="shared" si="51"/>
      </c>
      <c r="J310" s="51">
        <f t="shared" si="52"/>
      </c>
      <c r="K310" s="52">
        <f t="shared" si="53"/>
      </c>
      <c r="L310" s="48">
        <f t="shared" si="54"/>
      </c>
    </row>
    <row r="311" spans="1:12" ht="12.75">
      <c r="A311" s="6">
        <f t="shared" si="44"/>
        <v>49522</v>
      </c>
      <c r="B311" s="19">
        <f t="shared" si="45"/>
        <v>301</v>
      </c>
      <c r="C311" s="50">
        <f t="shared" si="46"/>
      </c>
      <c r="D311" s="50">
        <f t="shared" si="47"/>
      </c>
      <c r="E311" s="50">
        <f t="shared" si="48"/>
      </c>
      <c r="F311" s="50">
        <f t="shared" si="49"/>
        <v>0</v>
      </c>
      <c r="G311" s="21">
        <f t="shared" si="50"/>
      </c>
      <c r="H311" s="48">
        <f>IF(F310&lt;0.5,"",IF(OR(YEAR(A311)&lt;YEAR(A312),F311&lt;0.5),SUM($G$11:G311)-SUM($H$11:H310),""))</f>
      </c>
      <c r="I311" s="51">
        <f t="shared" si="51"/>
      </c>
      <c r="J311" s="51">
        <f t="shared" si="52"/>
      </c>
      <c r="K311" s="52">
        <f t="shared" si="53"/>
      </c>
      <c r="L311" s="48">
        <f t="shared" si="54"/>
      </c>
    </row>
    <row r="312" spans="1:12" ht="12.75">
      <c r="A312" s="6">
        <f t="shared" si="44"/>
        <v>49553</v>
      </c>
      <c r="B312" s="19">
        <f t="shared" si="45"/>
        <v>302</v>
      </c>
      <c r="C312" s="50">
        <f t="shared" si="46"/>
      </c>
      <c r="D312" s="50">
        <f t="shared" si="47"/>
      </c>
      <c r="E312" s="50">
        <f t="shared" si="48"/>
      </c>
      <c r="F312" s="50">
        <f t="shared" si="49"/>
        <v>0</v>
      </c>
      <c r="G312" s="21">
        <f t="shared" si="50"/>
      </c>
      <c r="H312" s="48">
        <f>IF(F311&lt;0.5,"",IF(OR(YEAR(A312)&lt;YEAR(A313),F312&lt;0.5),SUM($G$11:G312)-SUM($H$11:H311),""))</f>
      </c>
      <c r="I312" s="51">
        <f t="shared" si="51"/>
      </c>
      <c r="J312" s="51">
        <f t="shared" si="52"/>
      </c>
      <c r="K312" s="52">
        <f t="shared" si="53"/>
      </c>
      <c r="L312" s="48">
        <f t="shared" si="54"/>
      </c>
    </row>
    <row r="313" spans="1:12" ht="12.75">
      <c r="A313" s="6">
        <f t="shared" si="44"/>
        <v>49583</v>
      </c>
      <c r="B313" s="19">
        <f t="shared" si="45"/>
        <v>303</v>
      </c>
      <c r="C313" s="50">
        <f t="shared" si="46"/>
      </c>
      <c r="D313" s="50">
        <f t="shared" si="47"/>
      </c>
      <c r="E313" s="50">
        <f t="shared" si="48"/>
      </c>
      <c r="F313" s="50">
        <f t="shared" si="49"/>
        <v>0</v>
      </c>
      <c r="G313" s="21">
        <f t="shared" si="50"/>
      </c>
      <c r="H313" s="48">
        <f>IF(F312&lt;0.5,"",IF(OR(YEAR(A313)&lt;YEAR(A314),F313&lt;0.5),SUM($G$11:G313)-SUM($H$11:H312),""))</f>
      </c>
      <c r="I313" s="51">
        <f t="shared" si="51"/>
      </c>
      <c r="J313" s="51">
        <f t="shared" si="52"/>
      </c>
      <c r="K313" s="52">
        <f t="shared" si="53"/>
      </c>
      <c r="L313" s="48">
        <f t="shared" si="54"/>
      </c>
    </row>
    <row r="314" spans="1:12" ht="12.75">
      <c r="A314" s="6">
        <f t="shared" si="44"/>
        <v>49614</v>
      </c>
      <c r="B314" s="19">
        <f t="shared" si="45"/>
        <v>304</v>
      </c>
      <c r="C314" s="50">
        <f t="shared" si="46"/>
      </c>
      <c r="D314" s="50">
        <f t="shared" si="47"/>
      </c>
      <c r="E314" s="50">
        <f t="shared" si="48"/>
      </c>
      <c r="F314" s="50">
        <f t="shared" si="49"/>
        <v>0</v>
      </c>
      <c r="G314" s="21">
        <f t="shared" si="50"/>
      </c>
      <c r="H314" s="48">
        <f>IF(F313&lt;0.5,"",IF(OR(YEAR(A314)&lt;YEAR(A315),F314&lt;0.5),SUM($G$11:G314)-SUM($H$11:H313),""))</f>
      </c>
      <c r="I314" s="51">
        <f t="shared" si="51"/>
      </c>
      <c r="J314" s="51">
        <f t="shared" si="52"/>
      </c>
      <c r="K314" s="52">
        <f t="shared" si="53"/>
      </c>
      <c r="L314" s="48">
        <f t="shared" si="54"/>
      </c>
    </row>
    <row r="315" spans="1:12" ht="12.75">
      <c r="A315" s="6">
        <f t="shared" si="44"/>
        <v>49644</v>
      </c>
      <c r="B315" s="19">
        <f t="shared" si="45"/>
        <v>305</v>
      </c>
      <c r="C315" s="50">
        <f t="shared" si="46"/>
      </c>
      <c r="D315" s="50">
        <f t="shared" si="47"/>
      </c>
      <c r="E315" s="50">
        <f t="shared" si="48"/>
      </c>
      <c r="F315" s="50">
        <f t="shared" si="49"/>
        <v>0</v>
      </c>
      <c r="G315" s="21">
        <f t="shared" si="50"/>
      </c>
      <c r="H315" s="48">
        <f>IF(F314&lt;0.5,"",IF(OR(YEAR(A315)&lt;YEAR(A316),F315&lt;0.5),SUM($G$11:G315)-SUM($H$11:H314),""))</f>
      </c>
      <c r="I315" s="51">
        <f t="shared" si="51"/>
      </c>
      <c r="J315" s="51">
        <f t="shared" si="52"/>
      </c>
      <c r="K315" s="52">
        <f t="shared" si="53"/>
      </c>
      <c r="L315" s="48">
        <f t="shared" si="54"/>
      </c>
    </row>
    <row r="316" spans="1:12" ht="12.75">
      <c r="A316" s="6">
        <f t="shared" si="44"/>
        <v>49675</v>
      </c>
      <c r="B316" s="19">
        <f t="shared" si="45"/>
        <v>306</v>
      </c>
      <c r="C316" s="50">
        <f t="shared" si="46"/>
      </c>
      <c r="D316" s="50">
        <f t="shared" si="47"/>
      </c>
      <c r="E316" s="50">
        <f t="shared" si="48"/>
      </c>
      <c r="F316" s="50">
        <f t="shared" si="49"/>
        <v>0</v>
      </c>
      <c r="G316" s="21">
        <f t="shared" si="50"/>
      </c>
      <c r="H316" s="48">
        <f>IF(F315&lt;0.5,"",IF(OR(YEAR(A316)&lt;YEAR(A317),F316&lt;0.5),SUM($G$11:G316)-SUM($H$11:H315),""))</f>
      </c>
      <c r="I316" s="51">
        <f t="shared" si="51"/>
      </c>
      <c r="J316" s="51">
        <f t="shared" si="52"/>
      </c>
      <c r="K316" s="52">
        <f t="shared" si="53"/>
      </c>
      <c r="L316" s="48">
        <f t="shared" si="54"/>
      </c>
    </row>
    <row r="317" spans="1:12" ht="12.75">
      <c r="A317" s="6">
        <f t="shared" si="44"/>
        <v>49706</v>
      </c>
      <c r="B317" s="19">
        <f t="shared" si="45"/>
        <v>307</v>
      </c>
      <c r="C317" s="50">
        <f t="shared" si="46"/>
      </c>
      <c r="D317" s="50">
        <f t="shared" si="47"/>
      </c>
      <c r="E317" s="50">
        <f t="shared" si="48"/>
      </c>
      <c r="F317" s="50">
        <f t="shared" si="49"/>
        <v>0</v>
      </c>
      <c r="G317" s="21">
        <f t="shared" si="50"/>
      </c>
      <c r="H317" s="48">
        <f>IF(F316&lt;0.5,"",IF(OR(YEAR(A317)&lt;YEAR(A318),F317&lt;0.5),SUM($G$11:G317)-SUM($H$11:H316),""))</f>
      </c>
      <c r="I317" s="51">
        <f t="shared" si="51"/>
      </c>
      <c r="J317" s="51">
        <f t="shared" si="52"/>
      </c>
      <c r="K317" s="52">
        <f t="shared" si="53"/>
      </c>
      <c r="L317" s="48">
        <f t="shared" si="54"/>
      </c>
    </row>
    <row r="318" spans="1:12" ht="12.75">
      <c r="A318" s="6">
        <f t="shared" si="44"/>
        <v>49735</v>
      </c>
      <c r="B318" s="19">
        <f t="shared" si="45"/>
        <v>308</v>
      </c>
      <c r="C318" s="50">
        <f t="shared" si="46"/>
      </c>
      <c r="D318" s="50">
        <f t="shared" si="47"/>
      </c>
      <c r="E318" s="50">
        <f t="shared" si="48"/>
      </c>
      <c r="F318" s="50">
        <f t="shared" si="49"/>
        <v>0</v>
      </c>
      <c r="G318" s="21">
        <f t="shared" si="50"/>
      </c>
      <c r="H318" s="48">
        <f>IF(F317&lt;0.5,"",IF(OR(YEAR(A318)&lt;YEAR(A319),F318&lt;0.5),SUM($G$11:G318)-SUM($H$11:H317),""))</f>
      </c>
      <c r="I318" s="51">
        <f t="shared" si="51"/>
      </c>
      <c r="J318" s="51">
        <f t="shared" si="52"/>
      </c>
      <c r="K318" s="52">
        <f t="shared" si="53"/>
      </c>
      <c r="L318" s="48">
        <f t="shared" si="54"/>
      </c>
    </row>
    <row r="319" spans="1:12" ht="12.75">
      <c r="A319" s="6">
        <f t="shared" si="44"/>
        <v>49766</v>
      </c>
      <c r="B319" s="19">
        <f t="shared" si="45"/>
        <v>309</v>
      </c>
      <c r="C319" s="50">
        <f t="shared" si="46"/>
      </c>
      <c r="D319" s="50">
        <f t="shared" si="47"/>
      </c>
      <c r="E319" s="50">
        <f t="shared" si="48"/>
      </c>
      <c r="F319" s="50">
        <f t="shared" si="49"/>
        <v>0</v>
      </c>
      <c r="G319" s="21">
        <f t="shared" si="50"/>
      </c>
      <c r="H319" s="48">
        <f>IF(F318&lt;0.5,"",IF(OR(YEAR(A319)&lt;YEAR(A320),F319&lt;0.5),SUM($G$11:G319)-SUM($H$11:H318),""))</f>
      </c>
      <c r="I319" s="51">
        <f t="shared" si="51"/>
      </c>
      <c r="J319" s="51">
        <f t="shared" si="52"/>
      </c>
      <c r="K319" s="52">
        <f t="shared" si="53"/>
      </c>
      <c r="L319" s="48">
        <f t="shared" si="54"/>
      </c>
    </row>
    <row r="320" spans="1:12" ht="12.75">
      <c r="A320" s="6">
        <f t="shared" si="44"/>
        <v>49796</v>
      </c>
      <c r="B320" s="19">
        <f t="shared" si="45"/>
        <v>310</v>
      </c>
      <c r="C320" s="50">
        <f t="shared" si="46"/>
      </c>
      <c r="D320" s="50">
        <f t="shared" si="47"/>
      </c>
      <c r="E320" s="50">
        <f t="shared" si="48"/>
      </c>
      <c r="F320" s="50">
        <f t="shared" si="49"/>
        <v>0</v>
      </c>
      <c r="G320" s="21">
        <f t="shared" si="50"/>
      </c>
      <c r="H320" s="48">
        <f>IF(F319&lt;0.5,"",IF(OR(YEAR(A320)&lt;YEAR(A321),F320&lt;0.5),SUM($G$11:G320)-SUM($H$11:H319),""))</f>
      </c>
      <c r="I320" s="51">
        <f t="shared" si="51"/>
      </c>
      <c r="J320" s="51">
        <f t="shared" si="52"/>
      </c>
      <c r="K320" s="52">
        <f t="shared" si="53"/>
      </c>
      <c r="L320" s="48">
        <f t="shared" si="54"/>
      </c>
    </row>
    <row r="321" spans="1:12" ht="12.75">
      <c r="A321" s="6">
        <f t="shared" si="44"/>
        <v>49827</v>
      </c>
      <c r="B321" s="19">
        <f t="shared" si="45"/>
        <v>311</v>
      </c>
      <c r="C321" s="50">
        <f t="shared" si="46"/>
      </c>
      <c r="D321" s="50">
        <f t="shared" si="47"/>
      </c>
      <c r="E321" s="50">
        <f t="shared" si="48"/>
      </c>
      <c r="F321" s="50">
        <f t="shared" si="49"/>
        <v>0</v>
      </c>
      <c r="G321" s="21">
        <f t="shared" si="50"/>
      </c>
      <c r="H321" s="48">
        <f>IF(F320&lt;0.5,"",IF(OR(YEAR(A321)&lt;YEAR(A322),F321&lt;0.5),SUM($G$11:G321)-SUM($H$11:H320),""))</f>
      </c>
      <c r="I321" s="51">
        <f t="shared" si="51"/>
      </c>
      <c r="J321" s="51">
        <f t="shared" si="52"/>
      </c>
      <c r="K321" s="52">
        <f t="shared" si="53"/>
      </c>
      <c r="L321" s="48">
        <f t="shared" si="54"/>
      </c>
    </row>
    <row r="322" spans="1:12" ht="12.75">
      <c r="A322" s="6">
        <f t="shared" si="44"/>
        <v>49857</v>
      </c>
      <c r="B322" s="19">
        <f t="shared" si="45"/>
        <v>312</v>
      </c>
      <c r="C322" s="50">
        <f t="shared" si="46"/>
      </c>
      <c r="D322" s="50">
        <f t="shared" si="47"/>
      </c>
      <c r="E322" s="50">
        <f t="shared" si="48"/>
      </c>
      <c r="F322" s="50">
        <f t="shared" si="49"/>
        <v>0</v>
      </c>
      <c r="G322" s="21">
        <f t="shared" si="50"/>
      </c>
      <c r="H322" s="48">
        <f>IF(F321&lt;0.5,"",IF(OR(YEAR(A322)&lt;YEAR(A323),F322&lt;0.5),SUM($G$11:G322)-SUM($H$11:H321),""))</f>
      </c>
      <c r="I322" s="51">
        <f t="shared" si="51"/>
      </c>
      <c r="J322" s="51">
        <f t="shared" si="52"/>
      </c>
      <c r="K322" s="52">
        <f t="shared" si="53"/>
      </c>
      <c r="L322" s="48">
        <f t="shared" si="54"/>
      </c>
    </row>
    <row r="323" spans="1:12" ht="12.75">
      <c r="A323" s="6">
        <f t="shared" si="44"/>
        <v>49888</v>
      </c>
      <c r="B323" s="19">
        <f t="shared" si="45"/>
        <v>313</v>
      </c>
      <c r="C323" s="50">
        <f t="shared" si="46"/>
      </c>
      <c r="D323" s="50">
        <f t="shared" si="47"/>
      </c>
      <c r="E323" s="50">
        <f t="shared" si="48"/>
      </c>
      <c r="F323" s="50">
        <f t="shared" si="49"/>
        <v>0</v>
      </c>
      <c r="G323" s="21">
        <f t="shared" si="50"/>
      </c>
      <c r="H323" s="48">
        <f>IF(F322&lt;0.5,"",IF(OR(YEAR(A323)&lt;YEAR(A324),F323&lt;0.5),SUM($G$11:G323)-SUM($H$11:H322),""))</f>
      </c>
      <c r="I323" s="51">
        <f t="shared" si="51"/>
      </c>
      <c r="J323" s="51">
        <f t="shared" si="52"/>
      </c>
      <c r="K323" s="52">
        <f t="shared" si="53"/>
      </c>
      <c r="L323" s="48">
        <f t="shared" si="54"/>
      </c>
    </row>
    <row r="324" spans="1:12" ht="12.75">
      <c r="A324" s="6">
        <f t="shared" si="44"/>
        <v>49919</v>
      </c>
      <c r="B324" s="19">
        <f t="shared" si="45"/>
        <v>314</v>
      </c>
      <c r="C324" s="50">
        <f t="shared" si="46"/>
      </c>
      <c r="D324" s="50">
        <f t="shared" si="47"/>
      </c>
      <c r="E324" s="50">
        <f t="shared" si="48"/>
      </c>
      <c r="F324" s="50">
        <f t="shared" si="49"/>
        <v>0</v>
      </c>
      <c r="G324" s="21">
        <f t="shared" si="50"/>
      </c>
      <c r="H324" s="48">
        <f>IF(F323&lt;0.5,"",IF(OR(YEAR(A324)&lt;YEAR(A325),F324&lt;0.5),SUM($G$11:G324)-SUM($H$11:H323),""))</f>
      </c>
      <c r="I324" s="51">
        <f t="shared" si="51"/>
      </c>
      <c r="J324" s="51">
        <f t="shared" si="52"/>
      </c>
      <c r="K324" s="52">
        <f t="shared" si="53"/>
      </c>
      <c r="L324" s="48">
        <f t="shared" si="54"/>
      </c>
    </row>
    <row r="325" spans="1:12" ht="12.75">
      <c r="A325" s="6">
        <f t="shared" si="44"/>
        <v>49949</v>
      </c>
      <c r="B325" s="19">
        <f t="shared" si="45"/>
        <v>315</v>
      </c>
      <c r="C325" s="50">
        <f t="shared" si="46"/>
      </c>
      <c r="D325" s="50">
        <f t="shared" si="47"/>
      </c>
      <c r="E325" s="50">
        <f t="shared" si="48"/>
      </c>
      <c r="F325" s="50">
        <f t="shared" si="49"/>
        <v>0</v>
      </c>
      <c r="G325" s="21">
        <f t="shared" si="50"/>
      </c>
      <c r="H325" s="48">
        <f>IF(F324&lt;0.5,"",IF(OR(YEAR(A325)&lt;YEAR(A326),F325&lt;0.5),SUM($G$11:G325)-SUM($H$11:H324),""))</f>
      </c>
      <c r="I325" s="51">
        <f t="shared" si="51"/>
      </c>
      <c r="J325" s="51">
        <f t="shared" si="52"/>
      </c>
      <c r="K325" s="52">
        <f t="shared" si="53"/>
      </c>
      <c r="L325" s="48">
        <f t="shared" si="54"/>
      </c>
    </row>
    <row r="326" spans="1:12" ht="12.75">
      <c r="A326" s="6">
        <f t="shared" si="44"/>
        <v>49980</v>
      </c>
      <c r="B326" s="19">
        <f t="shared" si="45"/>
        <v>316</v>
      </c>
      <c r="C326" s="50">
        <f t="shared" si="46"/>
      </c>
      <c r="D326" s="50">
        <f t="shared" si="47"/>
      </c>
      <c r="E326" s="50">
        <f t="shared" si="48"/>
      </c>
      <c r="F326" s="50">
        <f t="shared" si="49"/>
        <v>0</v>
      </c>
      <c r="G326" s="21">
        <f t="shared" si="50"/>
      </c>
      <c r="H326" s="48">
        <f>IF(F325&lt;0.5,"",IF(OR(YEAR(A326)&lt;YEAR(A327),F326&lt;0.5),SUM($G$11:G326)-SUM($H$11:H325),""))</f>
      </c>
      <c r="I326" s="51">
        <f t="shared" si="51"/>
      </c>
      <c r="J326" s="51">
        <f t="shared" si="52"/>
      </c>
      <c r="K326" s="52">
        <f t="shared" si="53"/>
      </c>
      <c r="L326" s="48">
        <f t="shared" si="54"/>
      </c>
    </row>
    <row r="327" spans="1:12" ht="12.75">
      <c r="A327" s="6">
        <f t="shared" si="44"/>
        <v>50010</v>
      </c>
      <c r="B327" s="19">
        <f t="shared" si="45"/>
        <v>317</v>
      </c>
      <c r="C327" s="50">
        <f t="shared" si="46"/>
      </c>
      <c r="D327" s="50">
        <f t="shared" si="47"/>
      </c>
      <c r="E327" s="50">
        <f t="shared" si="48"/>
      </c>
      <c r="F327" s="50">
        <f t="shared" si="49"/>
        <v>0</v>
      </c>
      <c r="G327" s="21">
        <f t="shared" si="50"/>
      </c>
      <c r="H327" s="48">
        <f>IF(F326&lt;0.5,"",IF(OR(YEAR(A327)&lt;YEAR(A328),F327&lt;0.5),SUM($G$11:G327)-SUM($H$11:H326),""))</f>
      </c>
      <c r="I327" s="51">
        <f t="shared" si="51"/>
      </c>
      <c r="J327" s="51">
        <f t="shared" si="52"/>
      </c>
      <c r="K327" s="52">
        <f t="shared" si="53"/>
      </c>
      <c r="L327" s="48">
        <f t="shared" si="54"/>
      </c>
    </row>
    <row r="328" spans="1:12" ht="12.75">
      <c r="A328" s="6">
        <f t="shared" si="44"/>
        <v>50041</v>
      </c>
      <c r="B328" s="19">
        <f t="shared" si="45"/>
        <v>318</v>
      </c>
      <c r="C328" s="50">
        <f t="shared" si="46"/>
      </c>
      <c r="D328" s="50">
        <f t="shared" si="47"/>
      </c>
      <c r="E328" s="50">
        <f t="shared" si="48"/>
      </c>
      <c r="F328" s="50">
        <f t="shared" si="49"/>
        <v>0</v>
      </c>
      <c r="G328" s="21">
        <f t="shared" si="50"/>
      </c>
      <c r="H328" s="48">
        <f>IF(F327&lt;0.5,"",IF(OR(YEAR(A328)&lt;YEAR(A329),F328&lt;0.5),SUM($G$11:G328)-SUM($H$11:H327),""))</f>
      </c>
      <c r="I328" s="51">
        <f t="shared" si="51"/>
      </c>
      <c r="J328" s="51">
        <f t="shared" si="52"/>
      </c>
      <c r="K328" s="52">
        <f t="shared" si="53"/>
      </c>
      <c r="L328" s="48">
        <f t="shared" si="54"/>
      </c>
    </row>
    <row r="329" spans="1:12" ht="12.75">
      <c r="A329" s="6">
        <f t="shared" si="44"/>
        <v>50072</v>
      </c>
      <c r="B329" s="19">
        <f t="shared" si="45"/>
        <v>319</v>
      </c>
      <c r="C329" s="50">
        <f t="shared" si="46"/>
      </c>
      <c r="D329" s="50">
        <f t="shared" si="47"/>
      </c>
      <c r="E329" s="50">
        <f t="shared" si="48"/>
      </c>
      <c r="F329" s="50">
        <f t="shared" si="49"/>
        <v>0</v>
      </c>
      <c r="G329" s="21">
        <f t="shared" si="50"/>
      </c>
      <c r="H329" s="48">
        <f>IF(F328&lt;0.5,"",IF(OR(YEAR(A329)&lt;YEAR(A330),F329&lt;0.5),SUM($G$11:G329)-SUM($H$11:H328),""))</f>
      </c>
      <c r="I329" s="51">
        <f t="shared" si="51"/>
      </c>
      <c r="J329" s="51">
        <f t="shared" si="52"/>
      </c>
      <c r="K329" s="52">
        <f t="shared" si="53"/>
      </c>
      <c r="L329" s="48">
        <f t="shared" si="54"/>
      </c>
    </row>
    <row r="330" spans="1:12" ht="12.75">
      <c r="A330" s="6">
        <f t="shared" si="44"/>
        <v>50100</v>
      </c>
      <c r="B330" s="19">
        <f t="shared" si="45"/>
        <v>320</v>
      </c>
      <c r="C330" s="50">
        <f t="shared" si="46"/>
      </c>
      <c r="D330" s="50">
        <f t="shared" si="47"/>
      </c>
      <c r="E330" s="50">
        <f t="shared" si="48"/>
      </c>
      <c r="F330" s="50">
        <f t="shared" si="49"/>
        <v>0</v>
      </c>
      <c r="G330" s="21">
        <f t="shared" si="50"/>
      </c>
      <c r="H330" s="48">
        <f>IF(F329&lt;0.5,"",IF(OR(YEAR(A330)&lt;YEAR(A331),F330&lt;0.5),SUM($G$11:G330)-SUM($H$11:H329),""))</f>
      </c>
      <c r="I330" s="51">
        <f t="shared" si="51"/>
      </c>
      <c r="J330" s="51">
        <f t="shared" si="52"/>
      </c>
      <c r="K330" s="52">
        <f t="shared" si="53"/>
      </c>
      <c r="L330" s="48">
        <f t="shared" si="54"/>
      </c>
    </row>
    <row r="331" spans="1:12" ht="12.75">
      <c r="A331" s="6">
        <f t="shared" si="44"/>
        <v>50131</v>
      </c>
      <c r="B331" s="19">
        <f t="shared" si="45"/>
        <v>321</v>
      </c>
      <c r="C331" s="50">
        <f t="shared" si="46"/>
      </c>
      <c r="D331" s="50">
        <f t="shared" si="47"/>
      </c>
      <c r="E331" s="50">
        <f t="shared" si="48"/>
      </c>
      <c r="F331" s="50">
        <f t="shared" si="49"/>
        <v>0</v>
      </c>
      <c r="G331" s="21">
        <f t="shared" si="50"/>
      </c>
      <c r="H331" s="48">
        <f>IF(F330&lt;0.5,"",IF(OR(YEAR(A331)&lt;YEAR(A332),F331&lt;0.5),SUM($G$11:G331)-SUM($H$11:H330),""))</f>
      </c>
      <c r="I331" s="51">
        <f t="shared" si="51"/>
      </c>
      <c r="J331" s="51">
        <f t="shared" si="52"/>
      </c>
      <c r="K331" s="52">
        <f t="shared" si="53"/>
      </c>
      <c r="L331" s="48">
        <f t="shared" si="54"/>
      </c>
    </row>
    <row r="332" spans="1:12" ht="12.75">
      <c r="A332" s="6">
        <f aca="true" t="shared" si="55" ref="A332:A370">IF($C$6&lt;27,DATE((YEAR(A331)-1900),MONTH(A331)+1,$C$6),DATE((YEAR(A331)-1900),MONTH(A331)+2,1)-1)</f>
        <v>50161</v>
      </c>
      <c r="B332" s="19">
        <f aca="true" t="shared" si="56" ref="B332:B370">B331+1</f>
        <v>322</v>
      </c>
      <c r="C332" s="50">
        <f aca="true" t="shared" si="57" ref="C332:C370">IF(F331&gt;0.5,C331,"")</f>
      </c>
      <c r="D332" s="50">
        <f aca="true" t="shared" si="58" ref="D332:D370">IF(F331&gt;0.5,$I$3*F331,"")</f>
      </c>
      <c r="E332" s="50">
        <f aca="true" t="shared" si="59" ref="E332:E370">IF(F331&gt;0.5,C332-D332,"")</f>
      </c>
      <c r="F332" s="50">
        <f aca="true" t="shared" si="60" ref="F332:F370">IF(F331&gt;0.5,F331-E332,0)</f>
        <v>0</v>
      </c>
      <c r="G332" s="21">
        <f aca="true" t="shared" si="61" ref="G332:G370">IF(F331&gt;0.5,D332*$I$5,"")</f>
      </c>
      <c r="H332" s="48">
        <f>IF(F331&lt;0.5,"",IF(OR(YEAR(A332)&lt;YEAR(A333),F332&lt;0.5),SUM($G$11:G332)-SUM($H$11:H331),""))</f>
      </c>
      <c r="I332" s="51">
        <f aca="true" t="shared" si="62" ref="I332:I370">IF(F331&gt;0.5,I331+D332,"")</f>
      </c>
      <c r="J332" s="51">
        <f aca="true" t="shared" si="63" ref="J332:J370">IF(F331&gt;0.5,J331+E332,"")</f>
      </c>
      <c r="K332" s="52">
        <f aca="true" t="shared" si="64" ref="K332:K370">IF(F331&gt;0.5,C332/(1+$I$4)^B332+K331,"")</f>
      </c>
      <c r="L332" s="48">
        <f aca="true" t="shared" si="65" ref="L332:L370">IF(F331&lt;0.5,"",IF(H332="",L331,H332/(1+$I$4)^B332+L331))</f>
      </c>
    </row>
    <row r="333" spans="1:12" ht="12.75">
      <c r="A333" s="6">
        <f t="shared" si="55"/>
        <v>50192</v>
      </c>
      <c r="B333" s="19">
        <f t="shared" si="56"/>
        <v>323</v>
      </c>
      <c r="C333" s="50">
        <f t="shared" si="57"/>
      </c>
      <c r="D333" s="50">
        <f t="shared" si="58"/>
      </c>
      <c r="E333" s="50">
        <f t="shared" si="59"/>
      </c>
      <c r="F333" s="50">
        <f t="shared" si="60"/>
        <v>0</v>
      </c>
      <c r="G333" s="21">
        <f t="shared" si="61"/>
      </c>
      <c r="H333" s="48">
        <f>IF(F332&lt;0.5,"",IF(OR(YEAR(A333)&lt;YEAR(A334),F333&lt;0.5),SUM($G$11:G333)-SUM($H$11:H332),""))</f>
      </c>
      <c r="I333" s="51">
        <f t="shared" si="62"/>
      </c>
      <c r="J333" s="51">
        <f t="shared" si="63"/>
      </c>
      <c r="K333" s="52">
        <f t="shared" si="64"/>
      </c>
      <c r="L333" s="48">
        <f t="shared" si="65"/>
      </c>
    </row>
    <row r="334" spans="1:12" ht="12.75">
      <c r="A334" s="6">
        <f t="shared" si="55"/>
        <v>50222</v>
      </c>
      <c r="B334" s="19">
        <f t="shared" si="56"/>
        <v>324</v>
      </c>
      <c r="C334" s="50">
        <f t="shared" si="57"/>
      </c>
      <c r="D334" s="50">
        <f t="shared" si="58"/>
      </c>
      <c r="E334" s="50">
        <f t="shared" si="59"/>
      </c>
      <c r="F334" s="50">
        <f t="shared" si="60"/>
        <v>0</v>
      </c>
      <c r="G334" s="21">
        <f t="shared" si="61"/>
      </c>
      <c r="H334" s="48">
        <f>IF(F333&lt;0.5,"",IF(OR(YEAR(A334)&lt;YEAR(A335),F334&lt;0.5),SUM($G$11:G334)-SUM($H$11:H333),""))</f>
      </c>
      <c r="I334" s="51">
        <f t="shared" si="62"/>
      </c>
      <c r="J334" s="51">
        <f t="shared" si="63"/>
      </c>
      <c r="K334" s="52">
        <f t="shared" si="64"/>
      </c>
      <c r="L334" s="48">
        <f t="shared" si="65"/>
      </c>
    </row>
    <row r="335" spans="1:12" ht="12.75">
      <c r="A335" s="6">
        <f t="shared" si="55"/>
        <v>50253</v>
      </c>
      <c r="B335" s="19">
        <f t="shared" si="56"/>
        <v>325</v>
      </c>
      <c r="C335" s="50">
        <f t="shared" si="57"/>
      </c>
      <c r="D335" s="50">
        <f t="shared" si="58"/>
      </c>
      <c r="E335" s="50">
        <f t="shared" si="59"/>
      </c>
      <c r="F335" s="50">
        <f t="shared" si="60"/>
        <v>0</v>
      </c>
      <c r="G335" s="21">
        <f t="shared" si="61"/>
      </c>
      <c r="H335" s="48">
        <f>IF(F334&lt;0.5,"",IF(OR(YEAR(A335)&lt;YEAR(A336),F335&lt;0.5),SUM($G$11:G335)-SUM($H$11:H334),""))</f>
      </c>
      <c r="I335" s="51">
        <f t="shared" si="62"/>
      </c>
      <c r="J335" s="51">
        <f t="shared" si="63"/>
      </c>
      <c r="K335" s="52">
        <f t="shared" si="64"/>
      </c>
      <c r="L335" s="48">
        <f t="shared" si="65"/>
      </c>
    </row>
    <row r="336" spans="1:12" ht="12.75">
      <c r="A336" s="6">
        <f t="shared" si="55"/>
        <v>50284</v>
      </c>
      <c r="B336" s="19">
        <f t="shared" si="56"/>
        <v>326</v>
      </c>
      <c r="C336" s="50">
        <f t="shared" si="57"/>
      </c>
      <c r="D336" s="50">
        <f t="shared" si="58"/>
      </c>
      <c r="E336" s="50">
        <f t="shared" si="59"/>
      </c>
      <c r="F336" s="50">
        <f t="shared" si="60"/>
        <v>0</v>
      </c>
      <c r="G336" s="21">
        <f t="shared" si="61"/>
      </c>
      <c r="H336" s="48">
        <f>IF(F335&lt;0.5,"",IF(OR(YEAR(A336)&lt;YEAR(A337),F336&lt;0.5),SUM($G$11:G336)-SUM($H$11:H335),""))</f>
      </c>
      <c r="I336" s="51">
        <f t="shared" si="62"/>
      </c>
      <c r="J336" s="51">
        <f t="shared" si="63"/>
      </c>
      <c r="K336" s="52">
        <f t="shared" si="64"/>
      </c>
      <c r="L336" s="48">
        <f t="shared" si="65"/>
      </c>
    </row>
    <row r="337" spans="1:12" ht="12.75">
      <c r="A337" s="6">
        <f t="shared" si="55"/>
        <v>50314</v>
      </c>
      <c r="B337" s="19">
        <f t="shared" si="56"/>
        <v>327</v>
      </c>
      <c r="C337" s="50">
        <f t="shared" si="57"/>
      </c>
      <c r="D337" s="50">
        <f t="shared" si="58"/>
      </c>
      <c r="E337" s="50">
        <f t="shared" si="59"/>
      </c>
      <c r="F337" s="50">
        <f t="shared" si="60"/>
        <v>0</v>
      </c>
      <c r="G337" s="21">
        <f t="shared" si="61"/>
      </c>
      <c r="H337" s="48">
        <f>IF(F336&lt;0.5,"",IF(OR(YEAR(A337)&lt;YEAR(A338),F337&lt;0.5),SUM($G$11:G337)-SUM($H$11:H336),""))</f>
      </c>
      <c r="I337" s="51">
        <f t="shared" si="62"/>
      </c>
      <c r="J337" s="51">
        <f t="shared" si="63"/>
      </c>
      <c r="K337" s="52">
        <f t="shared" si="64"/>
      </c>
      <c r="L337" s="48">
        <f t="shared" si="65"/>
      </c>
    </row>
    <row r="338" spans="1:12" ht="12.75">
      <c r="A338" s="6">
        <f t="shared" si="55"/>
        <v>50345</v>
      </c>
      <c r="B338" s="19">
        <f t="shared" si="56"/>
        <v>328</v>
      </c>
      <c r="C338" s="50">
        <f t="shared" si="57"/>
      </c>
      <c r="D338" s="50">
        <f t="shared" si="58"/>
      </c>
      <c r="E338" s="50">
        <f t="shared" si="59"/>
      </c>
      <c r="F338" s="50">
        <f t="shared" si="60"/>
        <v>0</v>
      </c>
      <c r="G338" s="21">
        <f t="shared" si="61"/>
      </c>
      <c r="H338" s="48">
        <f>IF(F337&lt;0.5,"",IF(OR(YEAR(A338)&lt;YEAR(A339),F338&lt;0.5),SUM($G$11:G338)-SUM($H$11:H337),""))</f>
      </c>
      <c r="I338" s="51">
        <f t="shared" si="62"/>
      </c>
      <c r="J338" s="51">
        <f t="shared" si="63"/>
      </c>
      <c r="K338" s="52">
        <f t="shared" si="64"/>
      </c>
      <c r="L338" s="48">
        <f t="shared" si="65"/>
      </c>
    </row>
    <row r="339" spans="1:12" ht="12.75">
      <c r="A339" s="6">
        <f t="shared" si="55"/>
        <v>50375</v>
      </c>
      <c r="B339" s="19">
        <f t="shared" si="56"/>
        <v>329</v>
      </c>
      <c r="C339" s="50">
        <f t="shared" si="57"/>
      </c>
      <c r="D339" s="50">
        <f t="shared" si="58"/>
      </c>
      <c r="E339" s="50">
        <f t="shared" si="59"/>
      </c>
      <c r="F339" s="50">
        <f t="shared" si="60"/>
        <v>0</v>
      </c>
      <c r="G339" s="21">
        <f t="shared" si="61"/>
      </c>
      <c r="H339" s="48">
        <f>IF(F338&lt;0.5,"",IF(OR(YEAR(A339)&lt;YEAR(A340),F339&lt;0.5),SUM($G$11:G339)-SUM($H$11:H338),""))</f>
      </c>
      <c r="I339" s="51">
        <f t="shared" si="62"/>
      </c>
      <c r="J339" s="51">
        <f t="shared" si="63"/>
      </c>
      <c r="K339" s="52">
        <f t="shared" si="64"/>
      </c>
      <c r="L339" s="48">
        <f t="shared" si="65"/>
      </c>
    </row>
    <row r="340" spans="1:12" ht="12.75">
      <c r="A340" s="6">
        <f t="shared" si="55"/>
        <v>50406</v>
      </c>
      <c r="B340" s="19">
        <f t="shared" si="56"/>
        <v>330</v>
      </c>
      <c r="C340" s="50">
        <f t="shared" si="57"/>
      </c>
      <c r="D340" s="50">
        <f t="shared" si="58"/>
      </c>
      <c r="E340" s="50">
        <f t="shared" si="59"/>
      </c>
      <c r="F340" s="50">
        <f t="shared" si="60"/>
        <v>0</v>
      </c>
      <c r="G340" s="21">
        <f t="shared" si="61"/>
      </c>
      <c r="H340" s="48">
        <f>IF(F339&lt;0.5,"",IF(OR(YEAR(A340)&lt;YEAR(A341),F340&lt;0.5),SUM($G$11:G340)-SUM($H$11:H339),""))</f>
      </c>
      <c r="I340" s="51">
        <f t="shared" si="62"/>
      </c>
      <c r="J340" s="51">
        <f t="shared" si="63"/>
      </c>
      <c r="K340" s="52">
        <f t="shared" si="64"/>
      </c>
      <c r="L340" s="48">
        <f t="shared" si="65"/>
      </c>
    </row>
    <row r="341" spans="1:12" ht="12.75">
      <c r="A341" s="6">
        <f t="shared" si="55"/>
        <v>50437</v>
      </c>
      <c r="B341" s="19">
        <f t="shared" si="56"/>
        <v>331</v>
      </c>
      <c r="C341" s="50">
        <f t="shared" si="57"/>
      </c>
      <c r="D341" s="50">
        <f t="shared" si="58"/>
      </c>
      <c r="E341" s="50">
        <f t="shared" si="59"/>
      </c>
      <c r="F341" s="50">
        <f t="shared" si="60"/>
        <v>0</v>
      </c>
      <c r="G341" s="21">
        <f t="shared" si="61"/>
      </c>
      <c r="H341" s="48">
        <f>IF(F340&lt;0.5,"",IF(OR(YEAR(A341)&lt;YEAR(A342),F341&lt;0.5),SUM($G$11:G341)-SUM($H$11:H340),""))</f>
      </c>
      <c r="I341" s="51">
        <f t="shared" si="62"/>
      </c>
      <c r="J341" s="51">
        <f t="shared" si="63"/>
      </c>
      <c r="K341" s="52">
        <f t="shared" si="64"/>
      </c>
      <c r="L341" s="48">
        <f t="shared" si="65"/>
      </c>
    </row>
    <row r="342" spans="1:12" ht="12.75">
      <c r="A342" s="6">
        <f t="shared" si="55"/>
        <v>50465</v>
      </c>
      <c r="B342" s="19">
        <f t="shared" si="56"/>
        <v>332</v>
      </c>
      <c r="C342" s="50">
        <f t="shared" si="57"/>
      </c>
      <c r="D342" s="50">
        <f t="shared" si="58"/>
      </c>
      <c r="E342" s="50">
        <f t="shared" si="59"/>
      </c>
      <c r="F342" s="50">
        <f t="shared" si="60"/>
        <v>0</v>
      </c>
      <c r="G342" s="21">
        <f t="shared" si="61"/>
      </c>
      <c r="H342" s="48">
        <f>IF(F341&lt;0.5,"",IF(OR(YEAR(A342)&lt;YEAR(A343),F342&lt;0.5),SUM($G$11:G342)-SUM($H$11:H341),""))</f>
      </c>
      <c r="I342" s="51">
        <f t="shared" si="62"/>
      </c>
      <c r="J342" s="51">
        <f t="shared" si="63"/>
      </c>
      <c r="K342" s="52">
        <f t="shared" si="64"/>
      </c>
      <c r="L342" s="48">
        <f t="shared" si="65"/>
      </c>
    </row>
    <row r="343" spans="1:12" ht="12.75">
      <c r="A343" s="6">
        <f t="shared" si="55"/>
        <v>50496</v>
      </c>
      <c r="B343" s="19">
        <f t="shared" si="56"/>
        <v>333</v>
      </c>
      <c r="C343" s="50">
        <f t="shared" si="57"/>
      </c>
      <c r="D343" s="50">
        <f t="shared" si="58"/>
      </c>
      <c r="E343" s="50">
        <f t="shared" si="59"/>
      </c>
      <c r="F343" s="50">
        <f t="shared" si="60"/>
        <v>0</v>
      </c>
      <c r="G343" s="21">
        <f t="shared" si="61"/>
      </c>
      <c r="H343" s="48">
        <f>IF(F342&lt;0.5,"",IF(OR(YEAR(A343)&lt;YEAR(A344),F343&lt;0.5),SUM($G$11:G343)-SUM($H$11:H342),""))</f>
      </c>
      <c r="I343" s="51">
        <f t="shared" si="62"/>
      </c>
      <c r="J343" s="51">
        <f t="shared" si="63"/>
      </c>
      <c r="K343" s="52">
        <f t="shared" si="64"/>
      </c>
      <c r="L343" s="48">
        <f t="shared" si="65"/>
      </c>
    </row>
    <row r="344" spans="1:12" ht="12.75">
      <c r="A344" s="6">
        <f t="shared" si="55"/>
        <v>50526</v>
      </c>
      <c r="B344" s="19">
        <f t="shared" si="56"/>
        <v>334</v>
      </c>
      <c r="C344" s="50">
        <f t="shared" si="57"/>
      </c>
      <c r="D344" s="50">
        <f t="shared" si="58"/>
      </c>
      <c r="E344" s="50">
        <f t="shared" si="59"/>
      </c>
      <c r="F344" s="50">
        <f t="shared" si="60"/>
        <v>0</v>
      </c>
      <c r="G344" s="21">
        <f t="shared" si="61"/>
      </c>
      <c r="H344" s="48">
        <f>IF(F343&lt;0.5,"",IF(OR(YEAR(A344)&lt;YEAR(A345),F344&lt;0.5),SUM($G$11:G344)-SUM($H$11:H343),""))</f>
      </c>
      <c r="I344" s="51">
        <f t="shared" si="62"/>
      </c>
      <c r="J344" s="51">
        <f t="shared" si="63"/>
      </c>
      <c r="K344" s="52">
        <f t="shared" si="64"/>
      </c>
      <c r="L344" s="48">
        <f t="shared" si="65"/>
      </c>
    </row>
    <row r="345" spans="1:12" ht="12.75">
      <c r="A345" s="6">
        <f t="shared" si="55"/>
        <v>50557</v>
      </c>
      <c r="B345" s="19">
        <f t="shared" si="56"/>
        <v>335</v>
      </c>
      <c r="C345" s="50">
        <f t="shared" si="57"/>
      </c>
      <c r="D345" s="50">
        <f t="shared" si="58"/>
      </c>
      <c r="E345" s="50">
        <f t="shared" si="59"/>
      </c>
      <c r="F345" s="50">
        <f t="shared" si="60"/>
        <v>0</v>
      </c>
      <c r="G345" s="21">
        <f t="shared" si="61"/>
      </c>
      <c r="H345" s="48">
        <f>IF(F344&lt;0.5,"",IF(OR(YEAR(A345)&lt;YEAR(A346),F345&lt;0.5),SUM($G$11:G345)-SUM($H$11:H344),""))</f>
      </c>
      <c r="I345" s="51">
        <f t="shared" si="62"/>
      </c>
      <c r="J345" s="51">
        <f t="shared" si="63"/>
      </c>
      <c r="K345" s="52">
        <f t="shared" si="64"/>
      </c>
      <c r="L345" s="48">
        <f t="shared" si="65"/>
      </c>
    </row>
    <row r="346" spans="1:12" ht="12.75">
      <c r="A346" s="6">
        <f t="shared" si="55"/>
        <v>50587</v>
      </c>
      <c r="B346" s="19">
        <f t="shared" si="56"/>
        <v>336</v>
      </c>
      <c r="C346" s="50">
        <f t="shared" si="57"/>
      </c>
      <c r="D346" s="50">
        <f t="shared" si="58"/>
      </c>
      <c r="E346" s="50">
        <f t="shared" si="59"/>
      </c>
      <c r="F346" s="50">
        <f t="shared" si="60"/>
        <v>0</v>
      </c>
      <c r="G346" s="21">
        <f t="shared" si="61"/>
      </c>
      <c r="H346" s="48">
        <f>IF(F345&lt;0.5,"",IF(OR(YEAR(A346)&lt;YEAR(A347),F346&lt;0.5),SUM($G$11:G346)-SUM($H$11:H345),""))</f>
      </c>
      <c r="I346" s="51">
        <f t="shared" si="62"/>
      </c>
      <c r="J346" s="51">
        <f t="shared" si="63"/>
      </c>
      <c r="K346" s="52">
        <f t="shared" si="64"/>
      </c>
      <c r="L346" s="48">
        <f t="shared" si="65"/>
      </c>
    </row>
    <row r="347" spans="1:12" ht="12.75">
      <c r="A347" s="6">
        <f t="shared" si="55"/>
        <v>50618</v>
      </c>
      <c r="B347" s="19">
        <f t="shared" si="56"/>
        <v>337</v>
      </c>
      <c r="C347" s="50">
        <f t="shared" si="57"/>
      </c>
      <c r="D347" s="50">
        <f t="shared" si="58"/>
      </c>
      <c r="E347" s="50">
        <f t="shared" si="59"/>
      </c>
      <c r="F347" s="50">
        <f t="shared" si="60"/>
        <v>0</v>
      </c>
      <c r="G347" s="21">
        <f t="shared" si="61"/>
      </c>
      <c r="H347" s="48">
        <f>IF(F346&lt;0.5,"",IF(OR(YEAR(A347)&lt;YEAR(A348),F347&lt;0.5),SUM($G$11:G347)-SUM($H$11:H346),""))</f>
      </c>
      <c r="I347" s="51">
        <f t="shared" si="62"/>
      </c>
      <c r="J347" s="51">
        <f t="shared" si="63"/>
      </c>
      <c r="K347" s="52">
        <f t="shared" si="64"/>
      </c>
      <c r="L347" s="48">
        <f t="shared" si="65"/>
      </c>
    </row>
    <row r="348" spans="1:12" ht="12.75">
      <c r="A348" s="6">
        <f t="shared" si="55"/>
        <v>50649</v>
      </c>
      <c r="B348" s="19">
        <f t="shared" si="56"/>
        <v>338</v>
      </c>
      <c r="C348" s="50">
        <f t="shared" si="57"/>
      </c>
      <c r="D348" s="50">
        <f t="shared" si="58"/>
      </c>
      <c r="E348" s="50">
        <f t="shared" si="59"/>
      </c>
      <c r="F348" s="50">
        <f t="shared" si="60"/>
        <v>0</v>
      </c>
      <c r="G348" s="21">
        <f t="shared" si="61"/>
      </c>
      <c r="H348" s="48">
        <f>IF(F347&lt;0.5,"",IF(OR(YEAR(A348)&lt;YEAR(A349),F348&lt;0.5),SUM($G$11:G348)-SUM($H$11:H347),""))</f>
      </c>
      <c r="I348" s="51">
        <f t="shared" si="62"/>
      </c>
      <c r="J348" s="51">
        <f t="shared" si="63"/>
      </c>
      <c r="K348" s="52">
        <f t="shared" si="64"/>
      </c>
      <c r="L348" s="48">
        <f t="shared" si="65"/>
      </c>
    </row>
    <row r="349" spans="1:12" ht="12.75">
      <c r="A349" s="6">
        <f t="shared" si="55"/>
        <v>50679</v>
      </c>
      <c r="B349" s="19">
        <f t="shared" si="56"/>
        <v>339</v>
      </c>
      <c r="C349" s="50">
        <f t="shared" si="57"/>
      </c>
      <c r="D349" s="50">
        <f t="shared" si="58"/>
      </c>
      <c r="E349" s="50">
        <f t="shared" si="59"/>
      </c>
      <c r="F349" s="50">
        <f t="shared" si="60"/>
        <v>0</v>
      </c>
      <c r="G349" s="21">
        <f t="shared" si="61"/>
      </c>
      <c r="H349" s="48">
        <f>IF(F348&lt;0.5,"",IF(OR(YEAR(A349)&lt;YEAR(A350),F349&lt;0.5),SUM($G$11:G349)-SUM($H$11:H348),""))</f>
      </c>
      <c r="I349" s="51">
        <f t="shared" si="62"/>
      </c>
      <c r="J349" s="51">
        <f t="shared" si="63"/>
      </c>
      <c r="K349" s="52">
        <f t="shared" si="64"/>
      </c>
      <c r="L349" s="48">
        <f t="shared" si="65"/>
      </c>
    </row>
    <row r="350" spans="1:12" ht="12.75">
      <c r="A350" s="6">
        <f t="shared" si="55"/>
        <v>50710</v>
      </c>
      <c r="B350" s="19">
        <f t="shared" si="56"/>
        <v>340</v>
      </c>
      <c r="C350" s="50">
        <f t="shared" si="57"/>
      </c>
      <c r="D350" s="50">
        <f t="shared" si="58"/>
      </c>
      <c r="E350" s="50">
        <f t="shared" si="59"/>
      </c>
      <c r="F350" s="50">
        <f t="shared" si="60"/>
        <v>0</v>
      </c>
      <c r="G350" s="21">
        <f t="shared" si="61"/>
      </c>
      <c r="H350" s="48">
        <f>IF(F349&lt;0.5,"",IF(OR(YEAR(A350)&lt;YEAR(A351),F350&lt;0.5),SUM($G$11:G350)-SUM($H$11:H349),""))</f>
      </c>
      <c r="I350" s="51">
        <f t="shared" si="62"/>
      </c>
      <c r="J350" s="51">
        <f t="shared" si="63"/>
      </c>
      <c r="K350" s="52">
        <f t="shared" si="64"/>
      </c>
      <c r="L350" s="48">
        <f t="shared" si="65"/>
      </c>
    </row>
    <row r="351" spans="1:12" ht="12.75">
      <c r="A351" s="6">
        <f t="shared" si="55"/>
        <v>50740</v>
      </c>
      <c r="B351" s="19">
        <f t="shared" si="56"/>
        <v>341</v>
      </c>
      <c r="C351" s="50">
        <f t="shared" si="57"/>
      </c>
      <c r="D351" s="50">
        <f t="shared" si="58"/>
      </c>
      <c r="E351" s="50">
        <f t="shared" si="59"/>
      </c>
      <c r="F351" s="50">
        <f t="shared" si="60"/>
        <v>0</v>
      </c>
      <c r="G351" s="21">
        <f t="shared" si="61"/>
      </c>
      <c r="H351" s="48">
        <f>IF(F350&lt;0.5,"",IF(OR(YEAR(A351)&lt;YEAR(A352),F351&lt;0.5),SUM($G$11:G351)-SUM($H$11:H350),""))</f>
      </c>
      <c r="I351" s="51">
        <f t="shared" si="62"/>
      </c>
      <c r="J351" s="51">
        <f t="shared" si="63"/>
      </c>
      <c r="K351" s="52">
        <f t="shared" si="64"/>
      </c>
      <c r="L351" s="48">
        <f t="shared" si="65"/>
      </c>
    </row>
    <row r="352" spans="1:12" ht="12.75">
      <c r="A352" s="6">
        <f t="shared" si="55"/>
        <v>50771</v>
      </c>
      <c r="B352" s="19">
        <f t="shared" si="56"/>
        <v>342</v>
      </c>
      <c r="C352" s="50">
        <f t="shared" si="57"/>
      </c>
      <c r="D352" s="50">
        <f t="shared" si="58"/>
      </c>
      <c r="E352" s="50">
        <f t="shared" si="59"/>
      </c>
      <c r="F352" s="50">
        <f t="shared" si="60"/>
        <v>0</v>
      </c>
      <c r="G352" s="21">
        <f t="shared" si="61"/>
      </c>
      <c r="H352" s="48">
        <f>IF(F351&lt;0.5,"",IF(OR(YEAR(A352)&lt;YEAR(A353),F352&lt;0.5),SUM($G$11:G352)-SUM($H$11:H351),""))</f>
      </c>
      <c r="I352" s="51">
        <f t="shared" si="62"/>
      </c>
      <c r="J352" s="51">
        <f t="shared" si="63"/>
      </c>
      <c r="K352" s="52">
        <f t="shared" si="64"/>
      </c>
      <c r="L352" s="48">
        <f t="shared" si="65"/>
      </c>
    </row>
    <row r="353" spans="1:12" ht="12.75">
      <c r="A353" s="6">
        <f t="shared" si="55"/>
        <v>50802</v>
      </c>
      <c r="B353" s="19">
        <f t="shared" si="56"/>
        <v>343</v>
      </c>
      <c r="C353" s="50">
        <f t="shared" si="57"/>
      </c>
      <c r="D353" s="50">
        <f t="shared" si="58"/>
      </c>
      <c r="E353" s="50">
        <f t="shared" si="59"/>
      </c>
      <c r="F353" s="50">
        <f t="shared" si="60"/>
        <v>0</v>
      </c>
      <c r="G353" s="21">
        <f t="shared" si="61"/>
      </c>
      <c r="H353" s="48">
        <f>IF(F352&lt;0.5,"",IF(OR(YEAR(A353)&lt;YEAR(A354),F353&lt;0.5),SUM($G$11:G353)-SUM($H$11:H352),""))</f>
      </c>
      <c r="I353" s="51">
        <f t="shared" si="62"/>
      </c>
      <c r="J353" s="51">
        <f t="shared" si="63"/>
      </c>
      <c r="K353" s="52">
        <f t="shared" si="64"/>
      </c>
      <c r="L353" s="48">
        <f t="shared" si="65"/>
      </c>
    </row>
    <row r="354" spans="1:12" ht="12.75">
      <c r="A354" s="6">
        <f t="shared" si="55"/>
        <v>50830</v>
      </c>
      <c r="B354" s="19">
        <f t="shared" si="56"/>
        <v>344</v>
      </c>
      <c r="C354" s="50">
        <f t="shared" si="57"/>
      </c>
      <c r="D354" s="50">
        <f t="shared" si="58"/>
      </c>
      <c r="E354" s="50">
        <f t="shared" si="59"/>
      </c>
      <c r="F354" s="50">
        <f t="shared" si="60"/>
        <v>0</v>
      </c>
      <c r="G354" s="21">
        <f t="shared" si="61"/>
      </c>
      <c r="H354" s="48">
        <f>IF(F353&lt;0.5,"",IF(OR(YEAR(A354)&lt;YEAR(A355),F354&lt;0.5),SUM($G$11:G354)-SUM($H$11:H353),""))</f>
      </c>
      <c r="I354" s="51">
        <f t="shared" si="62"/>
      </c>
      <c r="J354" s="51">
        <f t="shared" si="63"/>
      </c>
      <c r="K354" s="52">
        <f t="shared" si="64"/>
      </c>
      <c r="L354" s="48">
        <f t="shared" si="65"/>
      </c>
    </row>
    <row r="355" spans="1:12" ht="12.75">
      <c r="A355" s="6">
        <f t="shared" si="55"/>
        <v>50861</v>
      </c>
      <c r="B355" s="19">
        <f t="shared" si="56"/>
        <v>345</v>
      </c>
      <c r="C355" s="50">
        <f t="shared" si="57"/>
      </c>
      <c r="D355" s="50">
        <f t="shared" si="58"/>
      </c>
      <c r="E355" s="50">
        <f t="shared" si="59"/>
      </c>
      <c r="F355" s="50">
        <f t="shared" si="60"/>
        <v>0</v>
      </c>
      <c r="G355" s="21">
        <f t="shared" si="61"/>
      </c>
      <c r="H355" s="48">
        <f>IF(F354&lt;0.5,"",IF(OR(YEAR(A355)&lt;YEAR(A356),F355&lt;0.5),SUM($G$11:G355)-SUM($H$11:H354),""))</f>
      </c>
      <c r="I355" s="51">
        <f t="shared" si="62"/>
      </c>
      <c r="J355" s="51">
        <f t="shared" si="63"/>
      </c>
      <c r="K355" s="52">
        <f t="shared" si="64"/>
      </c>
      <c r="L355" s="48">
        <f t="shared" si="65"/>
      </c>
    </row>
    <row r="356" spans="1:12" ht="12.75">
      <c r="A356" s="6">
        <f t="shared" si="55"/>
        <v>50891</v>
      </c>
      <c r="B356" s="19">
        <f t="shared" si="56"/>
        <v>346</v>
      </c>
      <c r="C356" s="50">
        <f t="shared" si="57"/>
      </c>
      <c r="D356" s="50">
        <f t="shared" si="58"/>
      </c>
      <c r="E356" s="50">
        <f t="shared" si="59"/>
      </c>
      <c r="F356" s="50">
        <f t="shared" si="60"/>
        <v>0</v>
      </c>
      <c r="G356" s="21">
        <f t="shared" si="61"/>
      </c>
      <c r="H356" s="48">
        <f>IF(F355&lt;0.5,"",IF(OR(YEAR(A356)&lt;YEAR(A357),F356&lt;0.5),SUM($G$11:G356)-SUM($H$11:H355),""))</f>
      </c>
      <c r="I356" s="51">
        <f t="shared" si="62"/>
      </c>
      <c r="J356" s="51">
        <f t="shared" si="63"/>
      </c>
      <c r="K356" s="52">
        <f t="shared" si="64"/>
      </c>
      <c r="L356" s="48">
        <f t="shared" si="65"/>
      </c>
    </row>
    <row r="357" spans="1:12" ht="12.75">
      <c r="A357" s="6">
        <f t="shared" si="55"/>
        <v>50922</v>
      </c>
      <c r="B357" s="19">
        <f t="shared" si="56"/>
        <v>347</v>
      </c>
      <c r="C357" s="50">
        <f t="shared" si="57"/>
      </c>
      <c r="D357" s="50">
        <f t="shared" si="58"/>
      </c>
      <c r="E357" s="50">
        <f t="shared" si="59"/>
      </c>
      <c r="F357" s="50">
        <f t="shared" si="60"/>
        <v>0</v>
      </c>
      <c r="G357" s="21">
        <f t="shared" si="61"/>
      </c>
      <c r="H357" s="48">
        <f>IF(F356&lt;0.5,"",IF(OR(YEAR(A357)&lt;YEAR(A358),F357&lt;0.5),SUM($G$11:G357)-SUM($H$11:H356),""))</f>
      </c>
      <c r="I357" s="51">
        <f t="shared" si="62"/>
      </c>
      <c r="J357" s="51">
        <f t="shared" si="63"/>
      </c>
      <c r="K357" s="52">
        <f t="shared" si="64"/>
      </c>
      <c r="L357" s="48">
        <f t="shared" si="65"/>
      </c>
    </row>
    <row r="358" spans="1:12" ht="12.75">
      <c r="A358" s="6">
        <f t="shared" si="55"/>
        <v>50952</v>
      </c>
      <c r="B358" s="19">
        <f t="shared" si="56"/>
        <v>348</v>
      </c>
      <c r="C358" s="50">
        <f t="shared" si="57"/>
      </c>
      <c r="D358" s="50">
        <f t="shared" si="58"/>
      </c>
      <c r="E358" s="50">
        <f t="shared" si="59"/>
      </c>
      <c r="F358" s="50">
        <f t="shared" si="60"/>
        <v>0</v>
      </c>
      <c r="G358" s="21">
        <f t="shared" si="61"/>
      </c>
      <c r="H358" s="48">
        <f>IF(F357&lt;0.5,"",IF(OR(YEAR(A358)&lt;YEAR(A359),F358&lt;0.5),SUM($G$11:G358)-SUM($H$11:H357),""))</f>
      </c>
      <c r="I358" s="51">
        <f t="shared" si="62"/>
      </c>
      <c r="J358" s="51">
        <f t="shared" si="63"/>
      </c>
      <c r="K358" s="52">
        <f t="shared" si="64"/>
      </c>
      <c r="L358" s="48">
        <f t="shared" si="65"/>
      </c>
    </row>
    <row r="359" spans="1:12" ht="12.75">
      <c r="A359" s="6">
        <f t="shared" si="55"/>
        <v>50983</v>
      </c>
      <c r="B359" s="19">
        <f t="shared" si="56"/>
        <v>349</v>
      </c>
      <c r="C359" s="50">
        <f t="shared" si="57"/>
      </c>
      <c r="D359" s="50">
        <f t="shared" si="58"/>
      </c>
      <c r="E359" s="50">
        <f t="shared" si="59"/>
      </c>
      <c r="F359" s="50">
        <f t="shared" si="60"/>
        <v>0</v>
      </c>
      <c r="G359" s="21">
        <f t="shared" si="61"/>
      </c>
      <c r="H359" s="48">
        <f>IF(F358&lt;0.5,"",IF(OR(YEAR(A359)&lt;YEAR(A360),F359&lt;0.5),SUM($G$11:G359)-SUM($H$11:H358),""))</f>
      </c>
      <c r="I359" s="51">
        <f t="shared" si="62"/>
      </c>
      <c r="J359" s="51">
        <f t="shared" si="63"/>
      </c>
      <c r="K359" s="52">
        <f t="shared" si="64"/>
      </c>
      <c r="L359" s="48">
        <f t="shared" si="65"/>
      </c>
    </row>
    <row r="360" spans="1:12" ht="12.75">
      <c r="A360" s="6">
        <f t="shared" si="55"/>
        <v>51014</v>
      </c>
      <c r="B360" s="19">
        <f t="shared" si="56"/>
        <v>350</v>
      </c>
      <c r="C360" s="50">
        <f t="shared" si="57"/>
      </c>
      <c r="D360" s="50">
        <f t="shared" si="58"/>
      </c>
      <c r="E360" s="50">
        <f t="shared" si="59"/>
      </c>
      <c r="F360" s="50">
        <f t="shared" si="60"/>
        <v>0</v>
      </c>
      <c r="G360" s="21">
        <f t="shared" si="61"/>
      </c>
      <c r="H360" s="48">
        <f>IF(F359&lt;0.5,"",IF(OR(YEAR(A360)&lt;YEAR(A361),F360&lt;0.5),SUM($G$11:G360)-SUM($H$11:H359),""))</f>
      </c>
      <c r="I360" s="51">
        <f t="shared" si="62"/>
      </c>
      <c r="J360" s="51">
        <f t="shared" si="63"/>
      </c>
      <c r="K360" s="52">
        <f t="shared" si="64"/>
      </c>
      <c r="L360" s="48">
        <f t="shared" si="65"/>
      </c>
    </row>
    <row r="361" spans="1:12" ht="12.75">
      <c r="A361" s="6">
        <f t="shared" si="55"/>
        <v>51044</v>
      </c>
      <c r="B361" s="19">
        <f t="shared" si="56"/>
        <v>351</v>
      </c>
      <c r="C361" s="50">
        <f t="shared" si="57"/>
      </c>
      <c r="D361" s="50">
        <f t="shared" si="58"/>
      </c>
      <c r="E361" s="50">
        <f t="shared" si="59"/>
      </c>
      <c r="F361" s="50">
        <f t="shared" si="60"/>
        <v>0</v>
      </c>
      <c r="G361" s="21">
        <f t="shared" si="61"/>
      </c>
      <c r="H361" s="48">
        <f>IF(F360&lt;0.5,"",IF(OR(YEAR(A361)&lt;YEAR(A362),F361&lt;0.5),SUM($G$11:G361)-SUM($H$11:H360),""))</f>
      </c>
      <c r="I361" s="51">
        <f t="shared" si="62"/>
      </c>
      <c r="J361" s="51">
        <f t="shared" si="63"/>
      </c>
      <c r="K361" s="52">
        <f t="shared" si="64"/>
      </c>
      <c r="L361" s="48">
        <f t="shared" si="65"/>
      </c>
    </row>
    <row r="362" spans="1:12" ht="12.75">
      <c r="A362" s="6">
        <f t="shared" si="55"/>
        <v>51075</v>
      </c>
      <c r="B362" s="19">
        <f t="shared" si="56"/>
        <v>352</v>
      </c>
      <c r="C362" s="50">
        <f t="shared" si="57"/>
      </c>
      <c r="D362" s="50">
        <f t="shared" si="58"/>
      </c>
      <c r="E362" s="50">
        <f t="shared" si="59"/>
      </c>
      <c r="F362" s="50">
        <f t="shared" si="60"/>
        <v>0</v>
      </c>
      <c r="G362" s="21">
        <f t="shared" si="61"/>
      </c>
      <c r="H362" s="48">
        <f>IF(F361&lt;0.5,"",IF(OR(YEAR(A362)&lt;YEAR(A363),F362&lt;0.5),SUM($G$11:G362)-SUM($H$11:H361),""))</f>
      </c>
      <c r="I362" s="51">
        <f t="shared" si="62"/>
      </c>
      <c r="J362" s="51">
        <f t="shared" si="63"/>
      </c>
      <c r="K362" s="52">
        <f t="shared" si="64"/>
      </c>
      <c r="L362" s="48">
        <f t="shared" si="65"/>
      </c>
    </row>
    <row r="363" spans="1:12" ht="12.75">
      <c r="A363" s="6">
        <f t="shared" si="55"/>
        <v>51105</v>
      </c>
      <c r="B363" s="19">
        <f t="shared" si="56"/>
        <v>353</v>
      </c>
      <c r="C363" s="50">
        <f t="shared" si="57"/>
      </c>
      <c r="D363" s="50">
        <f t="shared" si="58"/>
      </c>
      <c r="E363" s="50">
        <f t="shared" si="59"/>
      </c>
      <c r="F363" s="50">
        <f t="shared" si="60"/>
        <v>0</v>
      </c>
      <c r="G363" s="21">
        <f t="shared" si="61"/>
      </c>
      <c r="H363" s="48">
        <f>IF(F362&lt;0.5,"",IF(OR(YEAR(A363)&lt;YEAR(A364),F363&lt;0.5),SUM($G$11:G363)-SUM($H$11:H362),""))</f>
      </c>
      <c r="I363" s="51">
        <f t="shared" si="62"/>
      </c>
      <c r="J363" s="51">
        <f t="shared" si="63"/>
      </c>
      <c r="K363" s="52">
        <f t="shared" si="64"/>
      </c>
      <c r="L363" s="48">
        <f t="shared" si="65"/>
      </c>
    </row>
    <row r="364" spans="1:12" ht="12.75">
      <c r="A364" s="6">
        <f t="shared" si="55"/>
        <v>51136</v>
      </c>
      <c r="B364" s="19">
        <f t="shared" si="56"/>
        <v>354</v>
      </c>
      <c r="C364" s="50">
        <f t="shared" si="57"/>
      </c>
      <c r="D364" s="50">
        <f t="shared" si="58"/>
      </c>
      <c r="E364" s="50">
        <f t="shared" si="59"/>
      </c>
      <c r="F364" s="50">
        <f t="shared" si="60"/>
        <v>0</v>
      </c>
      <c r="G364" s="21">
        <f t="shared" si="61"/>
      </c>
      <c r="H364" s="48">
        <f>IF(F363&lt;0.5,"",IF(OR(YEAR(A364)&lt;YEAR(A365),F364&lt;0.5),SUM($G$11:G364)-SUM($H$11:H363),""))</f>
      </c>
      <c r="I364" s="51">
        <f t="shared" si="62"/>
      </c>
      <c r="J364" s="51">
        <f t="shared" si="63"/>
      </c>
      <c r="K364" s="52">
        <f t="shared" si="64"/>
      </c>
      <c r="L364" s="48">
        <f t="shared" si="65"/>
      </c>
    </row>
    <row r="365" spans="1:12" ht="12.75">
      <c r="A365" s="6">
        <f t="shared" si="55"/>
        <v>51167</v>
      </c>
      <c r="B365" s="19">
        <f t="shared" si="56"/>
        <v>355</v>
      </c>
      <c r="C365" s="50">
        <f t="shared" si="57"/>
      </c>
      <c r="D365" s="50">
        <f t="shared" si="58"/>
      </c>
      <c r="E365" s="50">
        <f t="shared" si="59"/>
      </c>
      <c r="F365" s="50">
        <f t="shared" si="60"/>
        <v>0</v>
      </c>
      <c r="G365" s="21">
        <f t="shared" si="61"/>
      </c>
      <c r="H365" s="48">
        <f>IF(F364&lt;0.5,"",IF(OR(YEAR(A365)&lt;YEAR(A366),F365&lt;0.5),SUM($G$11:G365)-SUM($H$11:H364),""))</f>
      </c>
      <c r="I365" s="51">
        <f t="shared" si="62"/>
      </c>
      <c r="J365" s="51">
        <f t="shared" si="63"/>
      </c>
      <c r="K365" s="52">
        <f t="shared" si="64"/>
      </c>
      <c r="L365" s="48">
        <f t="shared" si="65"/>
      </c>
    </row>
    <row r="366" spans="1:12" ht="12.75">
      <c r="A366" s="6">
        <f t="shared" si="55"/>
        <v>51196</v>
      </c>
      <c r="B366" s="19">
        <f t="shared" si="56"/>
        <v>356</v>
      </c>
      <c r="C366" s="50">
        <f t="shared" si="57"/>
      </c>
      <c r="D366" s="50">
        <f t="shared" si="58"/>
      </c>
      <c r="E366" s="50">
        <f t="shared" si="59"/>
      </c>
      <c r="F366" s="50">
        <f t="shared" si="60"/>
        <v>0</v>
      </c>
      <c r="G366" s="21">
        <f t="shared" si="61"/>
      </c>
      <c r="H366" s="48">
        <f>IF(F365&lt;0.5,"",IF(OR(YEAR(A366)&lt;YEAR(A367),F366&lt;0.5),SUM($G$11:G366)-SUM($H$11:H365),""))</f>
      </c>
      <c r="I366" s="51">
        <f t="shared" si="62"/>
      </c>
      <c r="J366" s="51">
        <f t="shared" si="63"/>
      </c>
      <c r="K366" s="52">
        <f t="shared" si="64"/>
      </c>
      <c r="L366" s="48">
        <f t="shared" si="65"/>
      </c>
    </row>
    <row r="367" spans="1:12" ht="12.75">
      <c r="A367" s="6">
        <f t="shared" si="55"/>
        <v>51227</v>
      </c>
      <c r="B367" s="19">
        <f t="shared" si="56"/>
        <v>357</v>
      </c>
      <c r="C367" s="50">
        <f t="shared" si="57"/>
      </c>
      <c r="D367" s="50">
        <f t="shared" si="58"/>
      </c>
      <c r="E367" s="50">
        <f t="shared" si="59"/>
      </c>
      <c r="F367" s="50">
        <f t="shared" si="60"/>
        <v>0</v>
      </c>
      <c r="G367" s="21">
        <f t="shared" si="61"/>
      </c>
      <c r="H367" s="48">
        <f>IF(F366&lt;0.5,"",IF(OR(YEAR(A367)&lt;YEAR(A368),F367&lt;0.5),SUM($G$11:G367)-SUM($H$11:H366),""))</f>
      </c>
      <c r="I367" s="51">
        <f t="shared" si="62"/>
      </c>
      <c r="J367" s="51">
        <f t="shared" si="63"/>
      </c>
      <c r="K367" s="52">
        <f t="shared" si="64"/>
      </c>
      <c r="L367" s="48">
        <f t="shared" si="65"/>
      </c>
    </row>
    <row r="368" spans="1:12" ht="12.75">
      <c r="A368" s="6">
        <f t="shared" si="55"/>
        <v>51257</v>
      </c>
      <c r="B368" s="19">
        <f t="shared" si="56"/>
        <v>358</v>
      </c>
      <c r="C368" s="50">
        <f t="shared" si="57"/>
      </c>
      <c r="D368" s="50">
        <f t="shared" si="58"/>
      </c>
      <c r="E368" s="50">
        <f t="shared" si="59"/>
      </c>
      <c r="F368" s="50">
        <f t="shared" si="60"/>
        <v>0</v>
      </c>
      <c r="G368" s="21">
        <f t="shared" si="61"/>
      </c>
      <c r="H368" s="48">
        <f>IF(F367&lt;0.5,"",IF(OR(YEAR(A368)&lt;YEAR(A369),F368&lt;0.5),SUM($G$11:G368)-SUM($H$11:H367),""))</f>
      </c>
      <c r="I368" s="51">
        <f t="shared" si="62"/>
      </c>
      <c r="J368" s="51">
        <f t="shared" si="63"/>
      </c>
      <c r="K368" s="52">
        <f t="shared" si="64"/>
      </c>
      <c r="L368" s="48">
        <f t="shared" si="65"/>
      </c>
    </row>
    <row r="369" spans="1:12" ht="12.75">
      <c r="A369" s="6">
        <f t="shared" si="55"/>
        <v>51288</v>
      </c>
      <c r="B369" s="19">
        <f t="shared" si="56"/>
        <v>359</v>
      </c>
      <c r="C369" s="50">
        <f t="shared" si="57"/>
      </c>
      <c r="D369" s="50">
        <f t="shared" si="58"/>
      </c>
      <c r="E369" s="50">
        <f t="shared" si="59"/>
      </c>
      <c r="F369" s="50">
        <f t="shared" si="60"/>
        <v>0</v>
      </c>
      <c r="G369" s="21">
        <f t="shared" si="61"/>
      </c>
      <c r="H369" s="48">
        <f>IF(F368&lt;0.5,"",IF(OR(YEAR(A369)&lt;YEAR(A370),F369&lt;0.5),SUM($G$11:G369)-SUM($H$11:H368),""))</f>
      </c>
      <c r="I369" s="51">
        <f t="shared" si="62"/>
      </c>
      <c r="J369" s="51">
        <f t="shared" si="63"/>
      </c>
      <c r="K369" s="52">
        <f t="shared" si="64"/>
      </c>
      <c r="L369" s="48">
        <f t="shared" si="65"/>
      </c>
    </row>
    <row r="370" spans="1:12" ht="12.75">
      <c r="A370" s="7">
        <f t="shared" si="55"/>
        <v>51318</v>
      </c>
      <c r="B370" s="8">
        <f t="shared" si="56"/>
        <v>360</v>
      </c>
      <c r="C370" s="53">
        <f t="shared" si="57"/>
      </c>
      <c r="D370" s="53">
        <f t="shared" si="58"/>
      </c>
      <c r="E370" s="53">
        <f t="shared" si="59"/>
      </c>
      <c r="F370" s="53">
        <f t="shared" si="60"/>
        <v>0</v>
      </c>
      <c r="G370" s="13">
        <f t="shared" si="61"/>
      </c>
      <c r="H370" s="54">
        <f>IF(F369&lt;0.5,"",IF(OR(YEAR(A370)&lt;YEAR(A371),F370&lt;0.5),SUM($G$11:G370)-SUM($H$11:H369),""))</f>
      </c>
      <c r="I370" s="55">
        <f t="shared" si="62"/>
      </c>
      <c r="J370" s="55">
        <f t="shared" si="63"/>
      </c>
      <c r="K370" s="54">
        <f t="shared" si="64"/>
      </c>
      <c r="L370" s="54">
        <f t="shared" si="65"/>
      </c>
    </row>
    <row r="371" spans="2:12" ht="12.75">
      <c r="B371" s="10" t="s">
        <v>44</v>
      </c>
      <c r="C371" s="50">
        <f>SUM(C11:C370)</f>
        <v>32671.38243715335</v>
      </c>
      <c r="D371" s="50">
        <f>SUM(D11:D370)</f>
        <v>3115.3824371533574</v>
      </c>
      <c r="E371" s="50">
        <f>SUM(E11:E370)</f>
        <v>29556.000000000007</v>
      </c>
      <c r="F371" s="50"/>
      <c r="G371" s="20"/>
      <c r="H371" s="20">
        <f>SUM(G11:G370)</f>
        <v>965.7685555175407</v>
      </c>
      <c r="I371" s="21"/>
      <c r="J371" s="21"/>
      <c r="K371" s="22"/>
      <c r="L371" s="22"/>
    </row>
    <row r="372" spans="3:12" ht="12.75">
      <c r="C372" s="20"/>
      <c r="D372" s="20"/>
      <c r="E372" s="20"/>
      <c r="F372" s="20"/>
      <c r="G372" s="20"/>
      <c r="H372" s="21"/>
      <c r="I372" s="21"/>
      <c r="J372" s="21"/>
      <c r="K372" s="22"/>
      <c r="L372" s="22"/>
    </row>
    <row r="373" spans="3:12" ht="12.75">
      <c r="C373" s="20"/>
      <c r="D373" s="20"/>
      <c r="E373" s="20"/>
      <c r="F373" s="20"/>
      <c r="G373" s="20"/>
      <c r="H373" s="21"/>
      <c r="I373" s="21"/>
      <c r="J373" s="21"/>
      <c r="K373" s="22"/>
      <c r="L373" s="22"/>
    </row>
    <row r="374" spans="3:12" ht="12.75">
      <c r="C374" s="20"/>
      <c r="D374" s="20"/>
      <c r="E374" s="20"/>
      <c r="F374" s="20"/>
      <c r="G374" s="20"/>
      <c r="H374" s="21"/>
      <c r="I374" s="21"/>
      <c r="J374" s="21"/>
      <c r="K374" s="22"/>
      <c r="L374" s="22"/>
    </row>
    <row r="375" spans="3:12" ht="12.75">
      <c r="C375" s="20"/>
      <c r="D375" s="20"/>
      <c r="E375" s="20"/>
      <c r="F375" s="20"/>
      <c r="G375" s="20"/>
      <c r="H375" s="21"/>
      <c r="I375" s="21"/>
      <c r="J375" s="21"/>
      <c r="K375" s="22"/>
      <c r="L375" s="22"/>
    </row>
    <row r="376" spans="3:12" ht="12.75">
      <c r="C376" s="20"/>
      <c r="D376" s="20"/>
      <c r="E376" s="20"/>
      <c r="F376" s="20"/>
      <c r="G376" s="20"/>
      <c r="H376" s="21"/>
      <c r="I376" s="21"/>
      <c r="J376" s="21"/>
      <c r="K376" s="22"/>
      <c r="L376" s="22"/>
    </row>
    <row r="377" spans="3:12" ht="12.75">
      <c r="C377" s="20"/>
      <c r="D377" s="20"/>
      <c r="E377" s="20"/>
      <c r="F377" s="20"/>
      <c r="G377" s="20"/>
      <c r="H377" s="21"/>
      <c r="I377" s="21"/>
      <c r="J377" s="21"/>
      <c r="K377" s="22"/>
      <c r="L377" s="22"/>
    </row>
  </sheetData>
  <sheetProtection/>
  <printOptions/>
  <pageMargins left="1" right="1" top="1" bottom="1" header="0.5" footer="0.5"/>
  <pageSetup fitToHeight="4" fitToWidth="1" horizontalDpi="300" verticalDpi="300" orientation="landscape" scale="36" r:id="rId1"/>
  <headerFooter alignWithMargins="0">
    <oddFooter>&amp;R&amp;8Dairy Management at Virginia Tech
Dr. M. L. McGilliard
[&amp;F], Rev. 10/10/00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2.57421875" style="0" customWidth="1"/>
    <col min="4" max="4" width="11.28125" style="0" customWidth="1"/>
    <col min="5" max="5" width="3.00390625" style="0" customWidth="1"/>
    <col min="6" max="6" width="11.28125" style="0" customWidth="1"/>
    <col min="7" max="7" width="10.421875" style="0" customWidth="1"/>
    <col min="8" max="8" width="3.140625" style="0" customWidth="1"/>
    <col min="9" max="9" width="14.00390625" style="0" customWidth="1"/>
  </cols>
  <sheetData>
    <row r="1" spans="1:2" ht="17.25">
      <c r="A1" s="15" t="s">
        <v>0</v>
      </c>
      <c r="B1" t="s">
        <v>1</v>
      </c>
    </row>
    <row r="4" spans="1:2" ht="12.75">
      <c r="A4" t="s">
        <v>2</v>
      </c>
      <c r="B4" s="57">
        <v>40410</v>
      </c>
    </row>
    <row r="5" spans="1:9" ht="12.75">
      <c r="A5" s="24" t="s">
        <v>3</v>
      </c>
      <c r="B5" s="59">
        <v>41821</v>
      </c>
      <c r="C5" s="24"/>
      <c r="D5" s="24"/>
      <c r="E5" s="24"/>
      <c r="F5" s="24"/>
      <c r="G5" s="24"/>
      <c r="H5" s="24"/>
      <c r="I5" s="24"/>
    </row>
    <row r="6" spans="1:9" ht="12.75">
      <c r="A6" s="42"/>
      <c r="B6" s="60"/>
      <c r="C6" s="42"/>
      <c r="D6" s="42"/>
      <c r="E6" s="42"/>
      <c r="F6" s="79">
        <f>'Old Loan'!H4/100</f>
        <v>0.03</v>
      </c>
      <c r="G6" s="80">
        <f>'New Loan'!H4/100</f>
        <v>0.03</v>
      </c>
      <c r="H6" s="42"/>
      <c r="I6" s="42"/>
    </row>
    <row r="7" spans="1:9" ht="12.75">
      <c r="A7" s="24"/>
      <c r="B7" s="58"/>
      <c r="C7" s="256" t="s">
        <v>4</v>
      </c>
      <c r="D7" s="257"/>
      <c r="E7" s="24"/>
      <c r="F7" s="256" t="s">
        <v>5</v>
      </c>
      <c r="G7" s="257"/>
      <c r="H7" s="24"/>
      <c r="I7" s="141" t="s">
        <v>68</v>
      </c>
    </row>
    <row r="8" spans="1:9" ht="12.75">
      <c r="A8" s="42"/>
      <c r="B8" s="42"/>
      <c r="C8" s="70" t="s">
        <v>6</v>
      </c>
      <c r="D8" s="71" t="s">
        <v>7</v>
      </c>
      <c r="E8" s="42"/>
      <c r="F8" s="70" t="s">
        <v>6</v>
      </c>
      <c r="G8" s="71" t="s">
        <v>7</v>
      </c>
      <c r="H8" s="42"/>
      <c r="I8" s="142" t="s">
        <v>7</v>
      </c>
    </row>
    <row r="9" spans="1:9" ht="12.75">
      <c r="A9" t="s">
        <v>8</v>
      </c>
      <c r="B9" s="56">
        <f>VLOOKUP(B4,OldLoan,1)</f>
        <v>40391</v>
      </c>
      <c r="C9" s="72">
        <f>VLOOKUP(B9,OldLoan,6)</f>
        <v>29555.531471037117</v>
      </c>
      <c r="D9" s="73"/>
      <c r="F9" s="74"/>
      <c r="G9" s="73"/>
      <c r="I9" s="143"/>
    </row>
    <row r="10" spans="1:9" ht="12.75">
      <c r="A10" t="s">
        <v>9</v>
      </c>
      <c r="B10" s="56">
        <f>'New Loan'!A11</f>
        <v>40391</v>
      </c>
      <c r="C10" s="74"/>
      <c r="D10" s="75">
        <f>'New Loan'!C3</f>
        <v>29556</v>
      </c>
      <c r="F10" s="74"/>
      <c r="G10" s="73"/>
      <c r="I10" s="143">
        <f>D10-C9</f>
        <v>0.4685289628832834</v>
      </c>
    </row>
    <row r="11" spans="3:9" ht="12.75">
      <c r="C11" s="74"/>
      <c r="D11" s="73"/>
      <c r="F11" s="74"/>
      <c r="G11" s="73"/>
      <c r="I11" s="144"/>
    </row>
    <row r="12" spans="1:9" ht="12.75">
      <c r="A12" t="s">
        <v>10</v>
      </c>
      <c r="B12" s="56">
        <f>B5</f>
        <v>41821</v>
      </c>
      <c r="C12" s="72">
        <f>VLOOKUP(B12,OldLoan,6)</f>
        <v>6.343725544866174E-11</v>
      </c>
      <c r="D12" s="75">
        <f>VLOOKUP(B12,NewLoan,6)</f>
        <v>-1.261923898709938E-11</v>
      </c>
      <c r="F12" s="72">
        <f>C12/((1+F$6/12)^(($B$12-$B$10)/(365.25/12)))</f>
        <v>5.6415508182108163E-11</v>
      </c>
      <c r="G12" s="75">
        <f>D12/((1+G$6/12)^(($B$12-$B$10)/(365.25/12)))</f>
        <v>-1.1222439799666678E-11</v>
      </c>
      <c r="I12" s="143">
        <f>F12-G12</f>
        <v>6.763794798177484E-11</v>
      </c>
    </row>
    <row r="13" spans="3:9" ht="12.75">
      <c r="C13" s="74"/>
      <c r="D13" s="73"/>
      <c r="F13" s="74"/>
      <c r="G13" s="73"/>
      <c r="I13" s="144"/>
    </row>
    <row r="14" spans="1:9" ht="12.75">
      <c r="A14" t="s">
        <v>11</v>
      </c>
      <c r="B14" s="28">
        <f>VLOOKUP(B12,NewLoan,2)-VLOOKUP(B10,NewLoan,2)+1</f>
        <v>48</v>
      </c>
      <c r="C14" s="76">
        <f>'Old Loan'!C11</f>
        <v>729.7342947385081</v>
      </c>
      <c r="D14" s="77">
        <f>'New Loan'!C11</f>
        <v>680.6538007740286</v>
      </c>
      <c r="F14" s="72">
        <f>C14/(-PMT(F6/12,B14,1))</f>
        <v>32968.44286663384</v>
      </c>
      <c r="G14" s="75">
        <f>D14/(-PMT(G6/12,B14,1))</f>
        <v>30751.05021728064</v>
      </c>
      <c r="I14" s="143">
        <f>F14-G14</f>
        <v>2217.3926493532017</v>
      </c>
    </row>
    <row r="15" spans="3:9" ht="12.75">
      <c r="C15" s="74"/>
      <c r="D15" s="73"/>
      <c r="F15" s="74"/>
      <c r="G15" s="73"/>
      <c r="I15" s="144"/>
    </row>
    <row r="16" spans="1:9" ht="12.75">
      <c r="A16" t="s">
        <v>12</v>
      </c>
      <c r="C16" s="74"/>
      <c r="D16" s="73"/>
      <c r="F16" s="72">
        <f>(VLOOKUP(B12,OldLoan,12)-VLOOKUP(B10,OldLoan,12))*((1+F$6/12)^(VLOOKUP(B10,OldLoan,2)-1))</f>
        <v>1826.6620154422492</v>
      </c>
      <c r="G16" s="75">
        <f>VLOOKUP(B12,NewLoan,12)</f>
        <v>914.359259367048</v>
      </c>
      <c r="I16" s="143">
        <f>G16-F16</f>
        <v>-912.3027560752012</v>
      </c>
    </row>
    <row r="17" spans="3:9" ht="12.75">
      <c r="C17" s="74"/>
      <c r="D17" s="73"/>
      <c r="F17" s="74"/>
      <c r="G17" s="73"/>
      <c r="I17" s="144"/>
    </row>
    <row r="18" spans="1:9" ht="12.75">
      <c r="A18" s="42" t="s">
        <v>13</v>
      </c>
      <c r="B18" s="42"/>
      <c r="C18" s="78"/>
      <c r="D18" s="34">
        <f>'Closing Costs'!B16</f>
        <v>1199</v>
      </c>
      <c r="E18" s="42"/>
      <c r="F18" s="78"/>
      <c r="G18" s="34"/>
      <c r="H18" s="42"/>
      <c r="I18" s="143">
        <f>-D18</f>
        <v>-1199</v>
      </c>
    </row>
    <row r="19" spans="4:9" ht="12.75">
      <c r="D19" s="149"/>
      <c r="E19" s="149"/>
      <c r="F19" s="149"/>
      <c r="G19" s="149"/>
      <c r="H19" s="149"/>
      <c r="I19" s="153"/>
    </row>
    <row r="20" spans="4:9" ht="12.75">
      <c r="D20" s="150"/>
      <c r="E20" s="145"/>
      <c r="F20" s="145"/>
      <c r="G20" s="146" t="s">
        <v>14</v>
      </c>
      <c r="H20" s="145"/>
      <c r="I20" s="154">
        <f>SUM(I9:I18)</f>
        <v>106.55842224095159</v>
      </c>
    </row>
    <row r="21" spans="4:9" ht="12.75">
      <c r="D21" s="151"/>
      <c r="E21" s="145"/>
      <c r="F21" s="145"/>
      <c r="G21" s="146" t="s">
        <v>15</v>
      </c>
      <c r="H21" s="145"/>
      <c r="I21" s="155"/>
    </row>
    <row r="22" spans="4:9" ht="12.75">
      <c r="D22" s="151"/>
      <c r="E22" s="145"/>
      <c r="F22" s="145"/>
      <c r="G22" s="145"/>
      <c r="H22" s="145"/>
      <c r="I22" s="155"/>
    </row>
    <row r="23" spans="4:9" ht="12.75">
      <c r="D23" s="152"/>
      <c r="E23" s="147"/>
      <c r="F23" s="147"/>
      <c r="G23" s="148" t="str">
        <f>"Future value as of "&amp;TEXT(B12,"mm/dd/yy")&amp;":"</f>
        <v>Future value as of 07/01/14:</v>
      </c>
      <c r="H23" s="147"/>
      <c r="I23" s="156">
        <f>I20*((1+G6/12)^(($B$12-$B$10)/(365.25/12)))</f>
        <v>119.82119934265567</v>
      </c>
    </row>
  </sheetData>
  <sheetProtection/>
  <mergeCells count="2">
    <mergeCell ref="F7:G7"/>
    <mergeCell ref="C7:D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McGilliard</dc:creator>
  <cp:keywords/>
  <dc:description/>
  <cp:lastModifiedBy>Laura</cp:lastModifiedBy>
  <cp:lastPrinted>2003-08-08T18:26:01Z</cp:lastPrinted>
  <dcterms:created xsi:type="dcterms:W3CDTF">1996-10-01T01:34:30Z</dcterms:created>
  <dcterms:modified xsi:type="dcterms:W3CDTF">2017-03-10T15:45:03Z</dcterms:modified>
  <cp:category/>
  <cp:version/>
  <cp:contentType/>
  <cp:contentStatus/>
</cp:coreProperties>
</file>