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H6" authorId="0">
      <text>
        <r>
          <rPr>
            <sz val="8"/>
            <rFont val="Tahoma"/>
            <family val="0"/>
          </rPr>
          <t>Enter as whole number</t>
        </r>
      </text>
    </comment>
    <comment ref="H7" authorId="0">
      <text>
        <r>
          <rPr>
            <sz val="8"/>
            <rFont val="Tahoma"/>
            <family val="0"/>
          </rPr>
          <t xml:space="preserve">Enter as whole number
</t>
        </r>
      </text>
    </comment>
    <comment ref="H8" authorId="0">
      <text>
        <r>
          <rPr>
            <sz val="8"/>
            <rFont val="Tahoma"/>
            <family val="0"/>
          </rPr>
          <t>Enter as whole number</t>
        </r>
      </text>
    </comment>
    <comment ref="H9" authorId="0">
      <text>
        <r>
          <rPr>
            <sz val="8"/>
            <rFont val="Tahoma"/>
            <family val="0"/>
          </rPr>
          <t>Interest or Discount Rate
Enter as whole number</t>
        </r>
      </text>
    </comment>
    <comment ref="H11" authorId="0">
      <text>
        <r>
          <rPr>
            <sz val="8"/>
            <rFont val="Tahoma"/>
            <family val="0"/>
          </rPr>
          <t xml:space="preserve">1 = 1st quarter
2 = 2nd quarter
3 = 3rd quarter
4 = 4th quarter
Mid Yr = mid year
</t>
        </r>
      </text>
    </comment>
    <comment ref="H12" authorId="0">
      <text>
        <r>
          <rPr>
            <sz val="8"/>
            <rFont val="Tahoma"/>
            <family val="0"/>
          </rPr>
          <t>Used for annual costs,
not tax deprec. class</t>
        </r>
      </text>
    </comment>
    <comment ref="H13" authorId="0">
      <text>
        <r>
          <rPr>
            <sz val="8"/>
            <rFont val="Tahoma"/>
            <family val="0"/>
          </rPr>
          <t>1 = 1x decline
2 = 2x decline
1.5 = 1.5x decline
SL = straight line</t>
        </r>
      </text>
    </comment>
    <comment ref="H14" authorId="0">
      <text>
        <r>
          <rPr>
            <sz val="8"/>
            <rFont val="Tahoma"/>
            <family val="0"/>
          </rPr>
          <t>5=Cattle, trucks, computers
7=Farm machinery
10=Silos, single purpose structures
20=Buildings</t>
        </r>
      </text>
    </comment>
    <comment ref="H18" authorId="0">
      <text>
        <r>
          <rPr>
            <sz val="8"/>
            <rFont val="Tahoma"/>
            <family val="0"/>
          </rPr>
          <t>This will be used in 
place of computed 
payment.</t>
        </r>
      </text>
    </comment>
    <comment ref="H20" authorId="0">
      <text>
        <r>
          <rPr>
            <sz val="8"/>
            <rFont val="Tahoma"/>
            <family val="0"/>
          </rPr>
          <t>Enter as whole number</t>
        </r>
      </text>
    </comment>
    <comment ref="H21" authorId="0">
      <text>
        <r>
          <rPr>
            <sz val="8"/>
            <rFont val="Tahoma"/>
            <family val="0"/>
          </rPr>
          <t>enter in dollars</t>
        </r>
      </text>
    </comment>
    <comment ref="C38" authorId="0">
      <text>
        <r>
          <rPr>
            <sz val="8"/>
            <rFont val="Tahoma"/>
            <family val="0"/>
          </rPr>
          <t>Includes tax deductible closing costs, if any</t>
        </r>
      </text>
    </comment>
  </commentList>
</comments>
</file>

<file path=xl/sharedStrings.xml><?xml version="1.0" encoding="utf-8"?>
<sst xmlns="http://schemas.openxmlformats.org/spreadsheetml/2006/main" count="64" uniqueCount="53">
  <si>
    <t>Tax Effects of a Capital Purchase</t>
  </si>
  <si>
    <t xml:space="preserve"> Depreciation and Interest</t>
  </si>
  <si>
    <t>Modified Accelerated Cost Recovery System (MACRS)</t>
  </si>
  <si>
    <t>McGilliard and Bethard</t>
  </si>
  <si>
    <t>INPUT</t>
  </si>
  <si>
    <t xml:space="preserve">  Marginal Income Tax Rate %</t>
  </si>
  <si>
    <t xml:space="preserve">  MARR / Opportunity Cost (pre-tax)</t>
  </si>
  <si>
    <t xml:space="preserve">  Inflation Rate %</t>
  </si>
  <si>
    <t xml:space="preserve">  Opportunity Tax %</t>
  </si>
  <si>
    <t xml:space="preserve">  Total Price</t>
  </si>
  <si>
    <t xml:space="preserve">  Convention (1,2,3,4, or MidYr)</t>
  </si>
  <si>
    <t>MidYr</t>
  </si>
  <si>
    <t xml:space="preserve">  Years of Life (not depreciation class)</t>
  </si>
  <si>
    <t xml:space="preserve">  Type of Depreciation (1, 1.5, 2, or SL)</t>
  </si>
  <si>
    <t xml:space="preserve">  Deprec. Class (Yr)</t>
  </si>
  <si>
    <t xml:space="preserve">  Loan Information (optional)</t>
  </si>
  <si>
    <t xml:space="preserve">  Down Payment</t>
  </si>
  <si>
    <t xml:space="preserve">  Amount Borrowed</t>
  </si>
  <si>
    <t xml:space="preserve">  Payment (optional)</t>
  </si>
  <si>
    <t xml:space="preserve">  Months</t>
  </si>
  <si>
    <t xml:space="preserve">  Interest Rate %</t>
  </si>
  <si>
    <t xml:space="preserve">  Closing Costs ($)</t>
  </si>
  <si>
    <t>OUTPUT</t>
  </si>
  <si>
    <t>Summary Information</t>
  </si>
  <si>
    <t>Depreciation</t>
  </si>
  <si>
    <t>Tax Red.</t>
  </si>
  <si>
    <t xml:space="preserve">  Closing costs</t>
  </si>
  <si>
    <t>Total</t>
  </si>
  <si>
    <t/>
  </si>
  <si>
    <t>Total PV</t>
  </si>
  <si>
    <t xml:space="preserve">  Tax. Ded. Closing</t>
  </si>
  <si>
    <t>Total FV*</t>
  </si>
  <si>
    <t xml:space="preserve">  Calculated Mo. Payment</t>
  </si>
  <si>
    <t>Total AV*</t>
  </si>
  <si>
    <t xml:space="preserve">  Adjusted Opportunity Cost</t>
  </si>
  <si>
    <t xml:space="preserve">  Rate of Depreciation</t>
  </si>
  <si>
    <t xml:space="preserve">* For lifetime (years): </t>
  </si>
  <si>
    <t>Loan Information</t>
  </si>
  <si>
    <t>Loan plus Depreciation</t>
  </si>
  <si>
    <t>Loan</t>
  </si>
  <si>
    <t>Tax Ded.</t>
  </si>
  <si>
    <t>PV of</t>
  </si>
  <si>
    <t>Remaining</t>
  </si>
  <si>
    <t>Tax</t>
  </si>
  <si>
    <t>Total tax</t>
  </si>
  <si>
    <t>Cumulative</t>
  </si>
  <si>
    <t>Year</t>
  </si>
  <si>
    <t>Payment</t>
  </si>
  <si>
    <t>Interest</t>
  </si>
  <si>
    <t>Depr.</t>
  </si>
  <si>
    <t>Balance</t>
  </si>
  <si>
    <t>Reduction</t>
  </si>
  <si>
    <t>PV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</si>
</sst>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"/>
    <numFmt numFmtId="168" formatCode="0.0000"/>
    <numFmt numFmtId="169" formatCode="0.000"/>
    <numFmt numFmtId="170" formatCode="0.0"/>
    <numFmt numFmtId="171" formatCode="&quot;$&quot;#,##0"/>
    <numFmt numFmtId="172" formatCode="0.0_)"/>
    <numFmt numFmtId="173" formatCode="0.00_)"/>
    <numFmt numFmtId="174" formatCode="0.000_)"/>
    <numFmt numFmtId="175" formatCode="0.0000000"/>
    <numFmt numFmtId="176" formatCode="0.000000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0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fill"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0" fontId="0" fillId="0" borderId="10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right"/>
      <protection/>
    </xf>
    <xf numFmtId="164" fontId="0" fillId="0" borderId="15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2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164" fontId="0" fillId="0" borderId="18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10" fontId="0" fillId="0" borderId="18" xfId="0" applyNumberFormat="1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fill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4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164" fontId="0" fillId="0" borderId="16" xfId="0" applyNumberFormat="1" applyFont="1" applyBorder="1" applyAlignment="1">
      <alignment horizontal="centerContinuous"/>
    </xf>
    <xf numFmtId="164" fontId="4" fillId="0" borderId="10" xfId="0" applyNumberFormat="1" applyFont="1" applyBorder="1" applyAlignment="1">
      <alignment horizontal="centerContinuous"/>
    </xf>
    <xf numFmtId="164" fontId="4" fillId="0" borderId="10" xfId="0" applyNumberFormat="1" applyFont="1" applyBorder="1" applyAlignment="1" applyProtection="1">
      <alignment horizontal="centerContinuous"/>
      <protection/>
    </xf>
    <xf numFmtId="164" fontId="4" fillId="0" borderId="16" xfId="0" applyNumberFormat="1" applyFont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/>
      <protection/>
    </xf>
    <xf numFmtId="0" fontId="0" fillId="0" borderId="20" xfId="0" applyFont="1" applyBorder="1" applyAlignment="1" applyProtection="1">
      <alignment horizontal="center"/>
      <protection/>
    </xf>
    <xf numFmtId="164" fontId="0" fillId="0" borderId="0" xfId="0" applyNumberFormat="1" applyFont="1" applyAlignment="1">
      <alignment/>
    </xf>
    <xf numFmtId="164" fontId="0" fillId="0" borderId="18" xfId="0" applyNumberFormat="1" applyBorder="1" applyAlignment="1">
      <alignment horizontal="center"/>
    </xf>
    <xf numFmtId="0" fontId="0" fillId="0" borderId="13" xfId="0" applyBorder="1" applyAlignment="1">
      <alignment/>
    </xf>
    <xf numFmtId="164" fontId="0" fillId="0" borderId="15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81" fontId="0" fillId="0" borderId="15" xfId="42" applyNumberFormat="1" applyFont="1" applyBorder="1" applyAlignment="1" applyProtection="1">
      <alignment/>
      <protection/>
    </xf>
    <xf numFmtId="181" fontId="0" fillId="0" borderId="0" xfId="42" applyNumberFormat="1" applyFont="1" applyBorder="1" applyAlignment="1">
      <alignment/>
    </xf>
    <xf numFmtId="181" fontId="0" fillId="0" borderId="15" xfId="42" applyNumberFormat="1" applyFont="1" applyBorder="1" applyAlignment="1">
      <alignment/>
    </xf>
    <xf numFmtId="181" fontId="0" fillId="0" borderId="0" xfId="42" applyNumberFormat="1" applyFont="1" applyAlignment="1" applyProtection="1">
      <alignment/>
      <protection/>
    </xf>
    <xf numFmtId="181" fontId="0" fillId="0" borderId="10" xfId="42" applyNumberFormat="1" applyFont="1" applyBorder="1" applyAlignment="1" applyProtection="1">
      <alignment/>
      <protection/>
    </xf>
    <xf numFmtId="181" fontId="0" fillId="0" borderId="16" xfId="42" applyNumberFormat="1" applyFont="1" applyBorder="1" applyAlignment="1" applyProtection="1">
      <alignment/>
      <protection/>
    </xf>
    <xf numFmtId="181" fontId="0" fillId="0" borderId="15" xfId="42" applyNumberFormat="1" applyFont="1" applyBorder="1" applyAlignment="1" applyProtection="1">
      <alignment horizontal="right"/>
      <protection/>
    </xf>
    <xf numFmtId="181" fontId="0" fillId="0" borderId="0" xfId="42" applyNumberFormat="1" applyFont="1" applyBorder="1" applyAlignment="1" applyProtection="1">
      <alignment/>
      <protection/>
    </xf>
    <xf numFmtId="181" fontId="0" fillId="0" borderId="11" xfId="42" applyNumberFormat="1" applyFont="1" applyBorder="1" applyAlignment="1" applyProtection="1">
      <alignment/>
      <protection/>
    </xf>
    <xf numFmtId="181" fontId="0" fillId="0" borderId="18" xfId="42" applyNumberFormat="1" applyFont="1" applyBorder="1" applyAlignment="1" applyProtection="1">
      <alignment horizontal="right"/>
      <protection/>
    </xf>
    <xf numFmtId="181" fontId="0" fillId="0" borderId="18" xfId="42" applyNumberFormat="1" applyFont="1" applyBorder="1" applyAlignment="1" applyProtection="1">
      <alignment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>
      <alignment/>
    </xf>
    <xf numFmtId="10" fontId="0" fillId="0" borderId="15" xfId="0" applyNumberFormat="1" applyFont="1" applyBorder="1" applyAlignment="1" applyProtection="1">
      <alignment horizontal="right"/>
      <protection locked="0"/>
    </xf>
    <xf numFmtId="172" fontId="10" fillId="0" borderId="15" xfId="0" applyNumberFormat="1" applyFont="1" applyBorder="1" applyAlignment="1" applyProtection="1">
      <alignment/>
      <protection/>
    </xf>
    <xf numFmtId="173" fontId="10" fillId="0" borderId="15" xfId="0" applyNumberFormat="1" applyFont="1" applyBorder="1" applyAlignment="1" applyProtection="1">
      <alignment/>
      <protection/>
    </xf>
    <xf numFmtId="164" fontId="10" fillId="0" borderId="15" xfId="0" applyNumberFormat="1" applyFont="1" applyBorder="1" applyAlignment="1" applyProtection="1">
      <alignment/>
      <protection/>
    </xf>
    <xf numFmtId="181" fontId="10" fillId="0" borderId="15" xfId="42" applyNumberFormat="1" applyFont="1" applyBorder="1" applyAlignment="1" applyProtection="1">
      <alignment/>
      <protection/>
    </xf>
    <xf numFmtId="164" fontId="10" fillId="0" borderId="15" xfId="0" applyNumberFormat="1" applyFont="1" applyBorder="1" applyAlignment="1" applyProtection="1">
      <alignment horizontal="right"/>
      <protection/>
    </xf>
    <xf numFmtId="172" fontId="10" fillId="0" borderId="15" xfId="0" applyNumberFormat="1" applyFont="1" applyBorder="1" applyAlignment="1" applyProtection="1">
      <alignment horizontal="right"/>
      <protection/>
    </xf>
    <xf numFmtId="164" fontId="10" fillId="0" borderId="16" xfId="0" applyNumberFormat="1" applyFont="1" applyBorder="1" applyAlignment="1" applyProtection="1">
      <alignment/>
      <protection/>
    </xf>
    <xf numFmtId="164" fontId="10" fillId="0" borderId="18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H6" sqref="H6"/>
    </sheetView>
  </sheetViews>
  <sheetFormatPr defaultColWidth="11.00390625" defaultRowHeight="12.75"/>
  <cols>
    <col min="1" max="1" width="7.140625" style="2" customWidth="1"/>
    <col min="2" max="2" width="8.8515625" style="2" customWidth="1"/>
    <col min="3" max="3" width="8.421875" style="2" customWidth="1"/>
    <col min="4" max="4" width="8.7109375" style="2" customWidth="1"/>
    <col min="5" max="5" width="7.7109375" style="2" customWidth="1"/>
    <col min="6" max="7" width="10.57421875" style="2" customWidth="1"/>
    <col min="8" max="8" width="9.28125" style="2" customWidth="1"/>
    <col min="9" max="9" width="8.57421875" style="2" customWidth="1"/>
    <col min="10" max="10" width="10.00390625" style="2" customWidth="1"/>
    <col min="11" max="11" width="10.00390625" style="2" hidden="1" customWidth="1"/>
    <col min="12" max="13" width="0" style="2" hidden="1" customWidth="1"/>
    <col min="14" max="16384" width="11.00390625" style="2" customWidth="1"/>
  </cols>
  <sheetData>
    <row r="1" spans="1:10" s="80" customFormat="1" ht="15" customHeight="1">
      <c r="A1" s="77" t="s">
        <v>0</v>
      </c>
      <c r="B1" s="78"/>
      <c r="C1" s="78"/>
      <c r="D1" s="78"/>
      <c r="E1" s="79"/>
      <c r="F1" s="79"/>
      <c r="G1" s="79"/>
      <c r="H1" s="78"/>
      <c r="I1" s="78"/>
      <c r="J1" s="78"/>
    </row>
    <row r="2" spans="1:10" ht="15" customHeight="1">
      <c r="A2" s="75" t="s">
        <v>1</v>
      </c>
      <c r="B2" s="75"/>
      <c r="C2" s="75"/>
      <c r="D2" s="75"/>
      <c r="E2" s="76"/>
      <c r="F2" s="76"/>
      <c r="G2" s="76"/>
      <c r="H2" s="75"/>
      <c r="I2" s="75"/>
      <c r="J2" s="75"/>
    </row>
    <row r="3" spans="1:10" ht="15" customHeight="1">
      <c r="A3" s="63" t="s">
        <v>2</v>
      </c>
      <c r="B3" s="24"/>
      <c r="C3" s="24"/>
      <c r="D3" s="24"/>
      <c r="E3" s="25"/>
      <c r="F3" s="25"/>
      <c r="G3" s="25"/>
      <c r="H3" s="24"/>
      <c r="I3" s="24"/>
      <c r="J3" s="24"/>
    </row>
    <row r="4" spans="1:10" ht="12.75">
      <c r="A4"/>
      <c r="B4" s="1"/>
      <c r="C4" s="1"/>
      <c r="D4" s="1"/>
      <c r="E4" s="1"/>
      <c r="F4" s="1"/>
      <c r="G4" s="11"/>
      <c r="H4" s="1"/>
      <c r="I4"/>
      <c r="J4" s="27" t="s">
        <v>3</v>
      </c>
    </row>
    <row r="5" spans="1:8" ht="16.5" thickBot="1">
      <c r="A5" s="60"/>
      <c r="B5" s="61"/>
      <c r="C5" s="43" t="s">
        <v>4</v>
      </c>
      <c r="D5" s="44"/>
      <c r="E5" s="44"/>
      <c r="F5" s="44"/>
      <c r="G5" s="44"/>
      <c r="H5" s="44"/>
    </row>
    <row r="6" spans="1:8" ht="13.5" thickTop="1">
      <c r="A6" s="11"/>
      <c r="B6" s="11"/>
      <c r="C6" s="15" t="s">
        <v>5</v>
      </c>
      <c r="D6" s="11"/>
      <c r="E6" s="11"/>
      <c r="F6" s="11"/>
      <c r="G6" s="11"/>
      <c r="H6" s="82">
        <v>28</v>
      </c>
    </row>
    <row r="7" spans="1:8" ht="12.75">
      <c r="A7" s="11"/>
      <c r="B7" s="10"/>
      <c r="C7" s="15" t="s">
        <v>6</v>
      </c>
      <c r="D7" s="10"/>
      <c r="E7" s="10"/>
      <c r="F7" s="10"/>
      <c r="G7" s="10"/>
      <c r="H7" s="83">
        <v>6</v>
      </c>
    </row>
    <row r="8" spans="1:8" ht="12.75">
      <c r="A8" s="11"/>
      <c r="B8" s="10"/>
      <c r="C8" s="15" t="s">
        <v>7</v>
      </c>
      <c r="D8" s="10"/>
      <c r="E8" s="10"/>
      <c r="F8" s="10"/>
      <c r="G8" s="10"/>
      <c r="H8" s="84">
        <v>0</v>
      </c>
    </row>
    <row r="9" spans="1:8" ht="12.75">
      <c r="A9" s="11"/>
      <c r="B9" s="10"/>
      <c r="C9" s="15" t="s">
        <v>8</v>
      </c>
      <c r="D9" s="10"/>
      <c r="E9" s="10"/>
      <c r="F9" s="10"/>
      <c r="G9" s="10"/>
      <c r="H9" s="84">
        <v>0</v>
      </c>
    </row>
    <row r="10" spans="1:8" ht="12.75">
      <c r="A10" s="11"/>
      <c r="C10" s="15" t="s">
        <v>9</v>
      </c>
      <c r="H10" s="85">
        <v>30000</v>
      </c>
    </row>
    <row r="11" spans="1:11" ht="12.75">
      <c r="A11" s="11"/>
      <c r="B11" s="11"/>
      <c r="C11" s="15" t="s">
        <v>10</v>
      </c>
      <c r="D11" s="11"/>
      <c r="E11" s="11"/>
      <c r="F11" s="11"/>
      <c r="G11" s="11"/>
      <c r="H11" s="86" t="s">
        <v>11</v>
      </c>
      <c r="I11"/>
      <c r="K11" s="2">
        <f>IF(H11=1,0.875,IF(H11=2,0.625,IF(H11=3,0.375,IF(H11=4,0.125,0.5))))</f>
        <v>0.5</v>
      </c>
    </row>
    <row r="12" spans="1:9" ht="12.75">
      <c r="A12" s="11"/>
      <c r="C12" s="15" t="s">
        <v>12</v>
      </c>
      <c r="H12" s="84">
        <v>15</v>
      </c>
      <c r="I12"/>
    </row>
    <row r="13" spans="1:11" ht="12.75">
      <c r="A13" s="11"/>
      <c r="C13" s="15" t="s">
        <v>13</v>
      </c>
      <c r="H13" s="87">
        <v>1.5</v>
      </c>
      <c r="I13"/>
      <c r="K13" s="2">
        <f>IF(H13=1,1,IF(H13=1.5,1.5,IF(H13=2,2,0)))</f>
        <v>1.5</v>
      </c>
    </row>
    <row r="14" spans="1:9" ht="12.75">
      <c r="A14" s="11"/>
      <c r="B14" s="10"/>
      <c r="C14" s="22" t="s">
        <v>14</v>
      </c>
      <c r="D14" s="6"/>
      <c r="E14" s="6"/>
      <c r="F14" s="6"/>
      <c r="G14" s="6"/>
      <c r="H14" s="88">
        <v>7</v>
      </c>
      <c r="I14"/>
    </row>
    <row r="15" spans="1:9" ht="15">
      <c r="A15" s="62"/>
      <c r="B15" s="10"/>
      <c r="C15" s="28" t="s">
        <v>15</v>
      </c>
      <c r="D15" s="10"/>
      <c r="E15" s="10"/>
      <c r="F15" s="10"/>
      <c r="G15" s="10"/>
      <c r="H15" s="21"/>
      <c r="I15"/>
    </row>
    <row r="16" spans="1:9" ht="12.75">
      <c r="A16" s="11"/>
      <c r="C16" s="15" t="s">
        <v>16</v>
      </c>
      <c r="H16" s="84">
        <v>0</v>
      </c>
      <c r="I16"/>
    </row>
    <row r="17" spans="1:9" ht="12.75">
      <c r="A17" s="11"/>
      <c r="C17" s="15" t="s">
        <v>17</v>
      </c>
      <c r="H17" s="84">
        <v>0</v>
      </c>
      <c r="I17"/>
    </row>
    <row r="18" spans="1:9" ht="12.75">
      <c r="A18" s="11"/>
      <c r="C18" s="15" t="s">
        <v>18</v>
      </c>
      <c r="H18" s="84">
        <v>0</v>
      </c>
      <c r="I18"/>
    </row>
    <row r="19" spans="1:9" ht="12.75">
      <c r="A19" s="11"/>
      <c r="C19" s="15" t="s">
        <v>19</v>
      </c>
      <c r="H19" s="84">
        <v>0</v>
      </c>
      <c r="I19"/>
    </row>
    <row r="20" spans="1:9" ht="12.75">
      <c r="A20" s="11"/>
      <c r="C20" s="15" t="s">
        <v>20</v>
      </c>
      <c r="H20" s="83">
        <v>0</v>
      </c>
      <c r="I20"/>
    </row>
    <row r="21" spans="1:9" ht="13.5" thickBot="1">
      <c r="A21" s="11"/>
      <c r="B21" s="10"/>
      <c r="C21" s="29" t="s">
        <v>21</v>
      </c>
      <c r="D21" s="8"/>
      <c r="E21" s="8"/>
      <c r="F21" s="8"/>
      <c r="G21" s="8"/>
      <c r="H21" s="89">
        <v>0</v>
      </c>
      <c r="I21"/>
    </row>
    <row r="22" spans="1:8" ht="13.5" thickTop="1">
      <c r="A22"/>
      <c r="B22"/>
      <c r="C22"/>
      <c r="D22"/>
      <c r="E22"/>
      <c r="F22"/>
      <c r="G22"/>
      <c r="H22"/>
    </row>
    <row r="23" ht="12.75"/>
    <row r="24" spans="1:10" ht="17.25" customHeight="1">
      <c r="A24" s="46" t="s">
        <v>22</v>
      </c>
      <c r="B24" s="46"/>
      <c r="C24" s="46"/>
      <c r="D24" s="46"/>
      <c r="E24" s="46"/>
      <c r="F24" s="46"/>
      <c r="G24" s="46"/>
      <c r="H24" s="46"/>
      <c r="I24" s="24"/>
      <c r="J24" s="24"/>
    </row>
    <row r="25" spans="1:9" ht="12.75" customHeight="1" thickBot="1">
      <c r="A25" s="46"/>
      <c r="B25" s="45"/>
      <c r="C25" s="45"/>
      <c r="D25" s="45"/>
      <c r="E25" s="45"/>
      <c r="F25" s="46"/>
      <c r="G25" s="45"/>
      <c r="H25" s="45"/>
      <c r="I25" s="45"/>
    </row>
    <row r="26" spans="1:9" ht="13.5" thickTop="1">
      <c r="A26"/>
      <c r="B26" s="22" t="s">
        <v>23</v>
      </c>
      <c r="C26" s="6"/>
      <c r="D26" s="6"/>
      <c r="E26" s="23"/>
      <c r="F26"/>
      <c r="G26" s="16"/>
      <c r="H26" s="38" t="s">
        <v>24</v>
      </c>
      <c r="I26" s="39" t="s">
        <v>25</v>
      </c>
    </row>
    <row r="27" spans="1:12" ht="12.75">
      <c r="A27"/>
      <c r="B27" s="15" t="s">
        <v>26</v>
      </c>
      <c r="E27" s="21">
        <f>IF(H21="","",-H21)</f>
        <v>0</v>
      </c>
      <c r="F27"/>
      <c r="G27" s="17" t="s">
        <v>27</v>
      </c>
      <c r="H27" s="65">
        <f>SUM(D38:D57)</f>
        <v>30000</v>
      </c>
      <c r="I27" s="66">
        <f>SUM(H38:H57)</f>
        <v>8400</v>
      </c>
      <c r="J27" s="3" t="s">
        <v>28</v>
      </c>
      <c r="K27" s="3"/>
      <c r="L27" s="3"/>
    </row>
    <row r="28" spans="1:12" ht="12.75">
      <c r="A28"/>
      <c r="B28" s="15" t="s">
        <v>16</v>
      </c>
      <c r="E28" s="21">
        <f>-H16</f>
        <v>0</v>
      </c>
      <c r="F28"/>
      <c r="G28" s="18" t="s">
        <v>29</v>
      </c>
      <c r="H28" s="67">
        <f>SUM(E38:E57)</f>
        <v>23771.076411353224</v>
      </c>
      <c r="I28" s="64">
        <f>SUM(I38:I57)</f>
        <v>6655.901395178902</v>
      </c>
      <c r="J28" s="3" t="s">
        <v>28</v>
      </c>
      <c r="K28" s="3"/>
      <c r="L28" s="3"/>
    </row>
    <row r="29" spans="1:12" ht="12.75">
      <c r="A29"/>
      <c r="B29" s="15" t="s">
        <v>30</v>
      </c>
      <c r="C29" s="10"/>
      <c r="D29" s="10"/>
      <c r="E29" s="21">
        <f>-E27*$H$6/100</f>
        <v>0</v>
      </c>
      <c r="F29"/>
      <c r="G29" s="18" t="s">
        <v>31</v>
      </c>
      <c r="H29" s="67">
        <f>H28*(1+E31)^H12</f>
        <v>56968.76793242741</v>
      </c>
      <c r="I29" s="64">
        <f>I28*(1+E31)^H12</f>
        <v>15951.25502107967</v>
      </c>
      <c r="J29" s="3" t="s">
        <v>28</v>
      </c>
      <c r="K29" s="3"/>
      <c r="L29" s="3"/>
    </row>
    <row r="30" spans="1:12" ht="12.75">
      <c r="A30"/>
      <c r="B30" s="15" t="s">
        <v>32</v>
      </c>
      <c r="C30" s="10"/>
      <c r="D30" s="10"/>
      <c r="E30" s="21">
        <f>IF(H18&gt;0,H18,IF(AND(H20&gt;0,H19&gt;0,H17&gt;0),PMT(H20/12/100,H19,-(H17)),0))</f>
        <v>0</v>
      </c>
      <c r="F30"/>
      <c r="G30" s="41" t="s">
        <v>33</v>
      </c>
      <c r="H30" s="68">
        <f>-PMT(E31,H12,H28)</f>
        <v>2447.535729505864</v>
      </c>
      <c r="I30" s="69">
        <f>-PMT(E31,H12,I28)</f>
        <v>685.3100042616418</v>
      </c>
      <c r="J30" s="3"/>
      <c r="K30" s="3"/>
      <c r="L30" s="3"/>
    </row>
    <row r="31" spans="1:12" ht="12.75">
      <c r="A31"/>
      <c r="B31" s="15" t="s">
        <v>34</v>
      </c>
      <c r="C31" s="10"/>
      <c r="D31" s="10"/>
      <c r="E31" s="81">
        <f>((H7/100)*(1-H9/100)-H8)/(1+H8/100)</f>
        <v>0.06</v>
      </c>
      <c r="F31"/>
      <c r="G31" s="58"/>
      <c r="H31" s="12"/>
      <c r="I31" s="59"/>
      <c r="J31" s="3"/>
      <c r="K31" s="3"/>
      <c r="L31" s="3"/>
    </row>
    <row r="32" spans="1:12" ht="13.5" thickBot="1">
      <c r="A32"/>
      <c r="B32" s="29" t="s">
        <v>35</v>
      </c>
      <c r="C32" s="8"/>
      <c r="D32" s="8"/>
      <c r="E32" s="32">
        <f>IF(K13=0,"st. line",H13/H14)</f>
        <v>0.21428571428571427</v>
      </c>
      <c r="F32"/>
      <c r="G32" s="40" t="s">
        <v>36</v>
      </c>
      <c r="H32" s="31"/>
      <c r="I32" s="57">
        <f>H12</f>
        <v>15</v>
      </c>
      <c r="J32" s="3"/>
      <c r="K32" s="3"/>
      <c r="L32" s="3"/>
    </row>
    <row r="33" spans="1:11" ht="13.5" thickTop="1">
      <c r="A33" s="11"/>
      <c r="B33" s="10"/>
      <c r="C33" s="10"/>
      <c r="D33" s="10"/>
      <c r="E33" s="12"/>
      <c r="F33" s="12"/>
      <c r="G33" s="12"/>
      <c r="H33" s="33"/>
      <c r="I33" s="3"/>
      <c r="J33" s="3"/>
      <c r="K33" s="3"/>
    </row>
    <row r="34" spans="1:11" ht="13.5" thickBot="1">
      <c r="A34" s="7"/>
      <c r="B34" s="8"/>
      <c r="C34" s="34"/>
      <c r="D34" s="34"/>
      <c r="E34" s="31"/>
      <c r="F34" s="31"/>
      <c r="G34" s="31"/>
      <c r="H34" s="35"/>
      <c r="I34" s="36"/>
      <c r="J34" s="36"/>
      <c r="K34" s="3"/>
    </row>
    <row r="35" spans="1:12" ht="15.75" thickTop="1">
      <c r="A35" s="54" t="s">
        <v>37</v>
      </c>
      <c r="B35" s="47"/>
      <c r="C35" s="48"/>
      <c r="D35" s="49" t="s">
        <v>24</v>
      </c>
      <c r="E35" s="50"/>
      <c r="F35" s="50"/>
      <c r="G35" s="51"/>
      <c r="H35" s="52" t="s">
        <v>38</v>
      </c>
      <c r="I35" s="52"/>
      <c r="J35" s="53"/>
      <c r="K35" s="3"/>
      <c r="L35" s="56">
        <f>SUM(D38:D57)</f>
        <v>30000</v>
      </c>
    </row>
    <row r="36" spans="1:14" ht="12.75">
      <c r="A36" s="42"/>
      <c r="B36" s="5" t="s">
        <v>39</v>
      </c>
      <c r="C36" s="19" t="s">
        <v>40</v>
      </c>
      <c r="D36" s="5"/>
      <c r="E36" s="5" t="s">
        <v>41</v>
      </c>
      <c r="F36" s="5" t="s">
        <v>42</v>
      </c>
      <c r="G36" s="19" t="s">
        <v>43</v>
      </c>
      <c r="H36" s="27" t="s">
        <v>44</v>
      </c>
      <c r="I36" s="27" t="s">
        <v>41</v>
      </c>
      <c r="J36" s="19" t="s">
        <v>45</v>
      </c>
      <c r="K36" s="3" t="s">
        <v>28</v>
      </c>
      <c r="N36"/>
    </row>
    <row r="37" spans="1:14" ht="12.75">
      <c r="A37" s="55" t="s">
        <v>46</v>
      </c>
      <c r="B37" s="9" t="s">
        <v>47</v>
      </c>
      <c r="C37" s="20" t="s">
        <v>48</v>
      </c>
      <c r="D37" s="9" t="s">
        <v>49</v>
      </c>
      <c r="E37" s="9" t="s">
        <v>49</v>
      </c>
      <c r="F37" s="9" t="s">
        <v>50</v>
      </c>
      <c r="G37" s="20" t="s">
        <v>51</v>
      </c>
      <c r="H37" s="9" t="s">
        <v>51</v>
      </c>
      <c r="I37" s="9" t="s">
        <v>51</v>
      </c>
      <c r="J37" s="20" t="s">
        <v>52</v>
      </c>
      <c r="K37" s="3" t="s">
        <v>28</v>
      </c>
      <c r="N37"/>
    </row>
    <row r="38" spans="1:14" ht="12.75">
      <c r="A38" s="14">
        <v>1</v>
      </c>
      <c r="B38" s="4">
        <f>IF(H17&gt;0,IF(A38*12&lt;=$H$19,-$E$30*12,IF(AND((A38-1)*12&lt;$H$19,A38*12&gt;$H$19),($H$19-A38*12)*$E$30,"")),"")</f>
      </c>
      <c r="C38" s="21">
        <f>IF(H17&gt;0,IF(B38="","",(-SUM(B$38)-($H$17-K38))*($H$6/100)+E29),0)</f>
        <v>0</v>
      </c>
      <c r="D38" s="67">
        <f>IF($H$14&lt;$A38,0,IF($K$13=0,$H$10/$H$14,$H$10*$E$32))*$K$11</f>
        <v>3214.285714285714</v>
      </c>
      <c r="E38" s="67">
        <f aca="true" t="shared" si="0" ref="E38:E57">IF(A38&lt;$H$14+2,D38*((1+($E$31))^-A38),"")</f>
        <v>3032.3450134770887</v>
      </c>
      <c r="F38" s="67">
        <f>IF(A38&lt;$H$14+2,H10-D38,"")</f>
        <v>26785.714285714286</v>
      </c>
      <c r="G38" s="70">
        <f>D38*$H$6/100</f>
        <v>900</v>
      </c>
      <c r="H38" s="71">
        <f>IF(A38&lt;$H$14+2,C38+G38+E29,"")</f>
        <v>900</v>
      </c>
      <c r="I38" s="71">
        <f aca="true" t="shared" si="1" ref="I38:I57">IF(A38&lt;$H$14+2,H38*((1+($E$31))^-A38),"")</f>
        <v>849.0566037735848</v>
      </c>
      <c r="J38" s="64">
        <f>I38</f>
        <v>849.0566037735848</v>
      </c>
      <c r="K38" s="4" t="e">
        <f>($H$17*(1+$H$20/100/12)^(-B38/$E$30)+((1-(1+$H$20/100/12)^(-B38/$E$30))/($H$20/100/12))*$E$30)</f>
        <v>#VALUE!</v>
      </c>
      <c r="L38" s="4">
        <f>IF($H$14&lt;$A38,0,IF($K$13=0,$H$17/$H$14,$H$10*$E$32))*$K$11</f>
        <v>3214.285714285714</v>
      </c>
      <c r="N38"/>
    </row>
    <row r="39" spans="1:14" ht="12.75">
      <c r="A39" s="14">
        <f aca="true" t="shared" si="2" ref="A39:A57">A38+1</f>
        <v>2</v>
      </c>
      <c r="B39" s="4">
        <f aca="true" t="shared" si="3" ref="B39:B57">IF($H$17&gt;0,IF(A39*12&lt;=$H$19,-$E$30*12,IF(AND((A39-1)*12&lt;$H$19,A39*12&gt;$H$19),($H$19-A39*12)*$E$30,"")),"")</f>
      </c>
      <c r="C39" s="21">
        <f>IF($H$17&gt;0,IF(B39="",0,(-SUM($B$38:B39)-($H$17-K39))*($H$6/100)-SUM($C$38:C38)),0)</f>
        <v>0</v>
      </c>
      <c r="D39" s="67">
        <f>IF(A39&lt;$H$14+1,IF(L39/$H$10&gt;M39,L39,M39*$H$10),IF(A39=$H$14+1,IF(L39/$H$10&gt;M39,L39,M39*$H$10*(1-$K$11)),""))</f>
        <v>5739.7959183673465</v>
      </c>
      <c r="E39" s="67">
        <f t="shared" si="0"/>
        <v>5108.397933755203</v>
      </c>
      <c r="F39" s="67">
        <f aca="true" t="shared" si="4" ref="F39:F57">IF(A39&lt;$H$14+2,F38-D39,"")</f>
        <v>21045.918367346938</v>
      </c>
      <c r="G39" s="70">
        <f aca="true" t="shared" si="5" ref="G39:G57">IF($H$6=0,0,IF($H$14+1&gt;=A39,D39*$H$6/100,""))</f>
        <v>1607.142857142857</v>
      </c>
      <c r="H39" s="71">
        <f aca="true" t="shared" si="6" ref="H39:H57">IF(A39&lt;$H$14+2,C39+G39,"")</f>
        <v>1607.142857142857</v>
      </c>
      <c r="I39" s="71">
        <f t="shared" si="1"/>
        <v>1430.3514214514569</v>
      </c>
      <c r="J39" s="64">
        <f aca="true" t="shared" si="7" ref="J39:J57">IF(A39&lt;$H$14+2,J38+I39,"")</f>
        <v>2279.4080252250415</v>
      </c>
      <c r="K39" s="4" t="e">
        <f aca="true" t="shared" si="8" ref="K39:K57">($H$17*(1+$H$20/100/12)^(-B39/$E$30+A38*12)+((1-(1+$H$20/100/12)^(-B39/$E$30+A38*12))/($H$20/100/12))*$E$30)</f>
        <v>#VALUE!</v>
      </c>
      <c r="L39" s="4">
        <f>IF(($H$14+1)&gt;=$A39,IF($H$14&lt;$A39,IF($K$13=0,IF($H$14=($A39-1),$H$10/$H$14*(1-$K$11),(1-$K$11)*($H$10-SUM(L$38:L38))*$E$32),0),IF($K$13=0,$H$10/$H$14,($H$10-SUM(L$38:L38))*$E$32)),"")</f>
        <v>5739.7959183673465</v>
      </c>
      <c r="M39" s="26">
        <f>(1-(SUM($D$38:D38))/$H$10)/($H$14+1-A39+1-$K$11)</f>
        <v>0.13736263736263737</v>
      </c>
      <c r="N39"/>
    </row>
    <row r="40" spans="1:14" ht="12.75">
      <c r="A40" s="14">
        <f t="shared" si="2"/>
        <v>3</v>
      </c>
      <c r="B40" s="4">
        <f t="shared" si="3"/>
      </c>
      <c r="C40" s="21">
        <f>IF($H$17&gt;0,IF(B40="",0,(-SUM($B$38:B40)-($H$17-K40))*($H$6/100)-SUM($C$38:C39)),0)</f>
        <v>0</v>
      </c>
      <c r="D40" s="67">
        <f aca="true" t="shared" si="9" ref="D40:D55">IF(A40&lt;$H$14+1,IF(L40/$H$10&gt;M40,L40,M40*$H$10),IF(A40=$H$14+1,IF(L40/$H$10&gt;M40,L40,M40*$H$10*(1-$K$11)),""))</f>
        <v>4509.839650145772</v>
      </c>
      <c r="E40" s="67">
        <f t="shared" si="0"/>
        <v>3786.548333646039</v>
      </c>
      <c r="F40" s="67">
        <f t="shared" si="4"/>
        <v>16536.078717201166</v>
      </c>
      <c r="G40" s="70">
        <f t="shared" si="5"/>
        <v>1262.7551020408162</v>
      </c>
      <c r="H40" s="71">
        <f t="shared" si="6"/>
        <v>1262.7551020408162</v>
      </c>
      <c r="I40" s="71">
        <f t="shared" si="1"/>
        <v>1060.2335334208908</v>
      </c>
      <c r="J40" s="64">
        <f t="shared" si="7"/>
        <v>3339.6415586459325</v>
      </c>
      <c r="K40" s="4" t="e">
        <f t="shared" si="8"/>
        <v>#VALUE!</v>
      </c>
      <c r="L40" s="4">
        <f>IF(($H$14+1)&gt;=$A40,IF($H$14&lt;$A40,IF($K$13=0,IF($H$14=($A40-1),$H$10/$H$14*(1-$K$11),(1-$K$11)*($H$10-SUM(L$38:L39))*$E$32),0),IF($K$13=0,$H$10/$H$14,($H$10-SUM(L$38:L39))*$E$32)),"")</f>
        <v>4509.839650145772</v>
      </c>
      <c r="M40" s="26">
        <f>(1-(SUM($D$38:D39))/$H$10)/($H$14+1-A40+1-$K$11)</f>
        <v>0.12755102040816327</v>
      </c>
      <c r="N40"/>
    </row>
    <row r="41" spans="1:14" ht="12.75">
      <c r="A41" s="14">
        <f t="shared" si="2"/>
        <v>4</v>
      </c>
      <c r="B41" s="4">
        <f t="shared" si="3"/>
      </c>
      <c r="C41" s="21">
        <f>IF($H$17&gt;0,IF(B41="",0,(-SUM($B$38:B41)-($H$17-K41))*($H$6/100)-SUM($C$38:C40)),0)</f>
        <v>0</v>
      </c>
      <c r="D41" s="67">
        <f t="shared" si="9"/>
        <v>3674.6841593780373</v>
      </c>
      <c r="E41" s="67">
        <f t="shared" si="0"/>
        <v>2910.6940370444754</v>
      </c>
      <c r="F41" s="67">
        <f t="shared" si="4"/>
        <v>12861.394557823129</v>
      </c>
      <c r="G41" s="70">
        <f t="shared" si="5"/>
        <v>1028.9115646258504</v>
      </c>
      <c r="H41" s="71">
        <f t="shared" si="6"/>
        <v>1028.9115646258504</v>
      </c>
      <c r="I41" s="71">
        <f t="shared" si="1"/>
        <v>814.994330372453</v>
      </c>
      <c r="J41" s="64">
        <f t="shared" si="7"/>
        <v>4154.635889018386</v>
      </c>
      <c r="K41" s="4" t="e">
        <f t="shared" si="8"/>
        <v>#VALUE!</v>
      </c>
      <c r="L41" s="4">
        <f>IF(($H$14+1)&gt;=$A41,IF($H$14&lt;$A41,IF($K$13=0,IF($H$14=($A41-1),$H$10/$H$14*(1-$K$11),(1-$K$11)*($H$10-SUM(L$38:L40))*$E$32),0),IF($K$13=0,$H$10/$H$14,($H$10-SUM(L$38:L40))*$E$32)),"")</f>
        <v>3543.4454394002505</v>
      </c>
      <c r="M41" s="26">
        <f>(1-(SUM($D$38:D40))/$H$10)/($H$14+1-A41+1-$K$11)</f>
        <v>0.1224894719792679</v>
      </c>
      <c r="N41"/>
    </row>
    <row r="42" spans="1:14" ht="12.75">
      <c r="A42" s="14">
        <f t="shared" si="2"/>
        <v>5</v>
      </c>
      <c r="B42" s="4">
        <f t="shared" si="3"/>
      </c>
      <c r="C42" s="21">
        <f>IF($H$17&gt;0,IF(B42="",0,(-SUM($B$38:B42)-($H$17-K42))*($H$6/100)-SUM($C$38:C41)),0)</f>
        <v>0</v>
      </c>
      <c r="D42" s="67">
        <f t="shared" si="9"/>
        <v>3674.684159378037</v>
      </c>
      <c r="E42" s="67">
        <f t="shared" si="0"/>
        <v>2745.937770796674</v>
      </c>
      <c r="F42" s="67">
        <f t="shared" si="4"/>
        <v>9186.710398445091</v>
      </c>
      <c r="G42" s="70">
        <f t="shared" si="5"/>
        <v>1028.9115646258504</v>
      </c>
      <c r="H42" s="71">
        <f t="shared" si="6"/>
        <v>1028.9115646258504</v>
      </c>
      <c r="I42" s="71">
        <f t="shared" si="1"/>
        <v>768.8625758230687</v>
      </c>
      <c r="J42" s="64">
        <f t="shared" si="7"/>
        <v>4923.498464841454</v>
      </c>
      <c r="K42" s="4" t="e">
        <f t="shared" si="8"/>
        <v>#VALUE!</v>
      </c>
      <c r="L42" s="4">
        <f>IF(($H$14+1)&gt;=$A42,IF($H$14&lt;$A42,IF($K$13=0,IF($H$14=($A42-1),$H$10/$H$14*(1-$K$11),(1-$K$11)*($H$10-SUM(L$38:L41))*$E$32),0),IF($K$13=0,$H$10/$H$14,($H$10-SUM(L$38:L41))*$E$32)),"")</f>
        <v>2784.1357023859105</v>
      </c>
      <c r="M42" s="26">
        <f>(1-(SUM($D$38:D41))/$H$10)/($H$14+1-A42+1-$K$11)</f>
        <v>0.12248947197926789</v>
      </c>
      <c r="N42"/>
    </row>
    <row r="43" spans="1:14" ht="12.75">
      <c r="A43" s="14">
        <f t="shared" si="2"/>
        <v>6</v>
      </c>
      <c r="B43" s="4">
        <f t="shared" si="3"/>
      </c>
      <c r="C43" s="21">
        <f>IF($H$17&gt;0,IF(B43="",0,(-SUM($B$38:B43)-($H$17-K43))*($H$6/100)-SUM($C$38:C42)),0)</f>
        <v>0</v>
      </c>
      <c r="D43" s="67">
        <f t="shared" si="9"/>
        <v>3674.6841593780364</v>
      </c>
      <c r="E43" s="67">
        <f t="shared" si="0"/>
        <v>2590.507330940258</v>
      </c>
      <c r="F43" s="67">
        <f t="shared" si="4"/>
        <v>5512.026239067055</v>
      </c>
      <c r="G43" s="70">
        <f t="shared" si="5"/>
        <v>1028.9115646258501</v>
      </c>
      <c r="H43" s="71">
        <f t="shared" si="6"/>
        <v>1028.9115646258501</v>
      </c>
      <c r="I43" s="71">
        <f t="shared" si="1"/>
        <v>725.3420526632722</v>
      </c>
      <c r="J43" s="64">
        <f t="shared" si="7"/>
        <v>5648.840517504726</v>
      </c>
      <c r="K43" s="4" t="e">
        <f t="shared" si="8"/>
        <v>#VALUE!</v>
      </c>
      <c r="L43" s="4">
        <f>IF(($H$14+1)&gt;=$A43,IF($H$14&lt;$A43,IF($K$13=0,IF($H$14=($A43-1),$H$10/$H$14*(1-$K$11),(1-$K$11)*($H$10-SUM(L$38:L42))*$E$32),0),IF($K$13=0,$H$10/$H$14,($H$10-SUM(L$38:L42))*$E$32)),"")</f>
        <v>2187.535194731787</v>
      </c>
      <c r="M43" s="26">
        <f>(1-(SUM($D$38:D42))/$H$10)/($H$14+1-A43+1-$K$11)</f>
        <v>0.12248947197926788</v>
      </c>
      <c r="N43"/>
    </row>
    <row r="44" spans="1:14" ht="12.75">
      <c r="A44" s="14">
        <f t="shared" si="2"/>
        <v>7</v>
      </c>
      <c r="B44" s="4">
        <f t="shared" si="3"/>
      </c>
      <c r="C44" s="21">
        <f>IF($H$17&gt;0,IF(B44="",0,(-SUM($B$38:B44)-($H$17-K44))*($H$6/100)-SUM($C$38:C43)),0)</f>
        <v>0</v>
      </c>
      <c r="D44" s="67">
        <f t="shared" si="9"/>
        <v>3674.684159378037</v>
      </c>
      <c r="E44" s="67">
        <f t="shared" si="0"/>
        <v>2443.874840509677</v>
      </c>
      <c r="F44" s="67">
        <f t="shared" si="4"/>
        <v>1837.3420796890182</v>
      </c>
      <c r="G44" s="70">
        <f t="shared" si="5"/>
        <v>1028.9115646258504</v>
      </c>
      <c r="H44" s="71">
        <f t="shared" si="6"/>
        <v>1028.9115646258504</v>
      </c>
      <c r="I44" s="71">
        <f t="shared" si="1"/>
        <v>684.2849553427096</v>
      </c>
      <c r="J44" s="64">
        <f t="shared" si="7"/>
        <v>6333.125472847436</v>
      </c>
      <c r="K44" s="4" t="e">
        <f t="shared" si="8"/>
        <v>#VALUE!</v>
      </c>
      <c r="L44" s="4">
        <f>IF(($H$14+1)&gt;=$A44,IF($H$14&lt;$A44,IF($K$13=0,IF($H$14=($A44-1),$H$10/$H$14*(1-$K$11),(1-$K$11)*($H$10-SUM(L$38:L43))*$E$32),0),IF($K$13=0,$H$10/$H$14,($H$10-SUM(L$38:L43))*$E$32)),"")</f>
        <v>1718.7776530035471</v>
      </c>
      <c r="M44" s="26">
        <f>(1-(SUM($D$38:D43))/$H$10)/($H$14+1-A44+1-$K$11)</f>
        <v>0.12248947197926789</v>
      </c>
      <c r="N44"/>
    </row>
    <row r="45" spans="1:14" ht="12.75">
      <c r="A45" s="14">
        <f t="shared" si="2"/>
        <v>8</v>
      </c>
      <c r="B45" s="4">
        <f t="shared" si="3"/>
      </c>
      <c r="C45" s="21">
        <f>IF($H$17&gt;0,IF(B45="",0,(-SUM($B$38:B45)-($H$17-K45))*($H$6/100)-SUM($C$38:C44)),0)</f>
        <v>0</v>
      </c>
      <c r="D45" s="67">
        <f t="shared" si="9"/>
        <v>1837.3420796890161</v>
      </c>
      <c r="E45" s="67">
        <f t="shared" si="0"/>
        <v>1152.7711511838088</v>
      </c>
      <c r="F45" s="67">
        <f t="shared" si="4"/>
        <v>2.0463630789890885E-12</v>
      </c>
      <c r="G45" s="70">
        <f t="shared" si="5"/>
        <v>514.4557823129245</v>
      </c>
      <c r="H45" s="71">
        <f t="shared" si="6"/>
        <v>514.4557823129245</v>
      </c>
      <c r="I45" s="71">
        <f t="shared" si="1"/>
        <v>322.77592233146646</v>
      </c>
      <c r="J45" s="64">
        <f t="shared" si="7"/>
        <v>6655.901395178902</v>
      </c>
      <c r="K45" s="4" t="e">
        <f t="shared" si="8"/>
        <v>#VALUE!</v>
      </c>
      <c r="L45" s="4">
        <f>IF(($H$14+1)&gt;=$A45,IF($H$14&lt;$A45,IF($K$13=0,IF($H$14=($A45-1),$H$10/$H$14*(1-$K$11),(1-$K$11)*($H$10-SUM(L$38:L44))*$E$32),0),IF($K$13=0,$H$10/$H$14,($H$10-SUM(L$38:L44))*$E$32)),"")</f>
        <v>0</v>
      </c>
      <c r="M45" s="26">
        <f>(1-(SUM($D$38:D44))/$H$10)/($H$14+1-A45+1-$K$11)</f>
        <v>0.12248947197926774</v>
      </c>
      <c r="N45"/>
    </row>
    <row r="46" spans="1:14" ht="12.75">
      <c r="A46" s="14">
        <f t="shared" si="2"/>
        <v>9</v>
      </c>
      <c r="B46" s="4">
        <f t="shared" si="3"/>
      </c>
      <c r="C46" s="21">
        <f>IF($H$17&gt;0,IF(B46="",0,(-SUM($B$38:B46)-($H$17-K46))*($H$6/100)-SUM($C$38:C45)),0)</f>
        <v>0</v>
      </c>
      <c r="D46" s="67">
        <f t="shared" si="9"/>
      </c>
      <c r="E46" s="67">
        <f t="shared" si="0"/>
      </c>
      <c r="F46" s="67">
        <f t="shared" si="4"/>
      </c>
      <c r="G46" s="70">
        <f t="shared" si="5"/>
      </c>
      <c r="H46" s="71">
        <f t="shared" si="6"/>
      </c>
      <c r="I46" s="71">
        <f t="shared" si="1"/>
      </c>
      <c r="J46" s="64">
        <f t="shared" si="7"/>
      </c>
      <c r="K46" s="4" t="e">
        <f t="shared" si="8"/>
        <v>#VALUE!</v>
      </c>
      <c r="L46" s="4">
        <f>IF(($H$14+1)&gt;=$A46,IF($H$14&lt;$A46,IF($K$13=0,IF($H$14=($A46-1),$H$10/$H$14*(1-$K$11),(1-$K$11)*($H$10-SUM(L$38:L45))*$E$32),0),IF($K$13=0,$H$10/$H$14,($H$10-SUM(L$38:L45))*$E$32)),"")</f>
      </c>
      <c r="M46" s="26">
        <f>(1-(SUM($D$38:D45))/$H$10)/($H$14+1-A46+1-$K$11)</f>
        <v>0</v>
      </c>
      <c r="N46"/>
    </row>
    <row r="47" spans="1:14" ht="12.75">
      <c r="A47" s="14">
        <f t="shared" si="2"/>
        <v>10</v>
      </c>
      <c r="B47" s="4">
        <f t="shared" si="3"/>
      </c>
      <c r="C47" s="21">
        <f>IF($H$17&gt;0,IF(B47="",0,(-SUM($B$38:B47)-($H$17-K47))*($H$6/100)-SUM($C$38:C46)),0)</f>
        <v>0</v>
      </c>
      <c r="D47" s="67">
        <f t="shared" si="9"/>
      </c>
      <c r="E47" s="67">
        <f t="shared" si="0"/>
      </c>
      <c r="F47" s="67">
        <f t="shared" si="4"/>
      </c>
      <c r="G47" s="70">
        <f t="shared" si="5"/>
      </c>
      <c r="H47" s="71">
        <f t="shared" si="6"/>
      </c>
      <c r="I47" s="71">
        <f t="shared" si="1"/>
      </c>
      <c r="J47" s="64">
        <f t="shared" si="7"/>
      </c>
      <c r="K47" s="4" t="e">
        <f t="shared" si="8"/>
        <v>#VALUE!</v>
      </c>
      <c r="L47" s="4">
        <f>IF(($H$14+1)&gt;=$A47,IF($H$14&lt;$A47,IF($K$13=0,IF($H$14=($A47-1),$H$10/$H$14*(1-$K$11),(1-$K$11)*($H$10-SUM(L$38:L46))*$E$32),0),IF($K$13=0,$H$10/$H$14,($H$10-SUM(L$38:L46))*$E$32)),"")</f>
      </c>
      <c r="M47" s="26">
        <f>(1-(SUM($D$38:D46))/$H$10)/($H$14+1-A47+1-$K$11)</f>
        <v>0</v>
      </c>
      <c r="N47"/>
    </row>
    <row r="48" spans="1:14" ht="12.75">
      <c r="A48" s="14">
        <f t="shared" si="2"/>
        <v>11</v>
      </c>
      <c r="B48" s="4">
        <f t="shared" si="3"/>
      </c>
      <c r="C48" s="21">
        <f>IF($H$17&gt;0,IF(B48="",0,(-SUM($B$38:B48)-($H$17-K48))*($H$6/100)-SUM($C$38:C47)),0)</f>
        <v>0</v>
      </c>
      <c r="D48" s="67">
        <f t="shared" si="9"/>
      </c>
      <c r="E48" s="67">
        <f t="shared" si="0"/>
      </c>
      <c r="F48" s="67">
        <f t="shared" si="4"/>
      </c>
      <c r="G48" s="70">
        <f t="shared" si="5"/>
      </c>
      <c r="H48" s="71">
        <f t="shared" si="6"/>
      </c>
      <c r="I48" s="71">
        <f t="shared" si="1"/>
      </c>
      <c r="J48" s="64">
        <f t="shared" si="7"/>
      </c>
      <c r="K48" s="4" t="e">
        <f t="shared" si="8"/>
        <v>#VALUE!</v>
      </c>
      <c r="L48" s="4">
        <f>IF(($H$14+1)&gt;=$A48,IF($H$14&lt;$A48,IF($K$13=0,IF($H$14=($A48-1),$H$10/$H$14*(1-$K$11),(1-$K$11)*($H$10-SUM(L$38:L47))*$E$32),0),IF($K$13=0,$H$10/$H$14,($H$10-SUM(L$38:L47))*$E$32)),"")</f>
      </c>
      <c r="M48" s="26">
        <f>(1-(SUM($D$38:D47))/$H$10)/($H$14+1-A48+1-$K$11)</f>
        <v>0</v>
      </c>
      <c r="N48"/>
    </row>
    <row r="49" spans="1:14" ht="12.75">
      <c r="A49" s="14">
        <f t="shared" si="2"/>
        <v>12</v>
      </c>
      <c r="B49" s="4">
        <f t="shared" si="3"/>
      </c>
      <c r="C49" s="21">
        <f>IF($H$17&gt;0,IF(B49="",0,(-SUM($B$38:B49)-($H$17-K49))*($H$6/100)-SUM($C$38:C48)),0)</f>
        <v>0</v>
      </c>
      <c r="D49" s="67">
        <f t="shared" si="9"/>
      </c>
      <c r="E49" s="67">
        <f t="shared" si="0"/>
      </c>
      <c r="F49" s="67">
        <f t="shared" si="4"/>
      </c>
      <c r="G49" s="70">
        <f t="shared" si="5"/>
      </c>
      <c r="H49" s="71">
        <f t="shared" si="6"/>
      </c>
      <c r="I49" s="71">
        <f t="shared" si="1"/>
      </c>
      <c r="J49" s="64">
        <f t="shared" si="7"/>
      </c>
      <c r="K49" s="4" t="e">
        <f t="shared" si="8"/>
        <v>#VALUE!</v>
      </c>
      <c r="L49" s="4">
        <f>IF(($H$14+1)&gt;=$A49,IF($H$14&lt;$A49,IF($K$13=0,IF($H$14=($A49-1),$H$10/$H$14*(1-$K$11),(1-$K$11)*($H$10-SUM(L$38:L48))*$E$32),0),IF($K$13=0,$H$10/$H$14,($H$10-SUM(L$38:L48))*$E$32)),"")</f>
      </c>
      <c r="M49" s="26">
        <f>(1-(SUM($D$38:D48))/$H$10)/($H$14+1-A49+1-$K$11)</f>
        <v>0</v>
      </c>
      <c r="N49"/>
    </row>
    <row r="50" spans="1:14" ht="12.75">
      <c r="A50" s="14">
        <f t="shared" si="2"/>
        <v>13</v>
      </c>
      <c r="B50" s="4">
        <f t="shared" si="3"/>
      </c>
      <c r="C50" s="21">
        <f>IF($H$17&gt;0,IF(B50="",0,(-SUM($B$38:B50)-($H$17-K50))*($H$6/100)-SUM($C$38:C49)),0)</f>
        <v>0</v>
      </c>
      <c r="D50" s="67">
        <f t="shared" si="9"/>
      </c>
      <c r="E50" s="67">
        <f t="shared" si="0"/>
      </c>
      <c r="F50" s="67">
        <f t="shared" si="4"/>
      </c>
      <c r="G50" s="70">
        <f t="shared" si="5"/>
      </c>
      <c r="H50" s="71">
        <f t="shared" si="6"/>
      </c>
      <c r="I50" s="71">
        <f t="shared" si="1"/>
      </c>
      <c r="J50" s="64">
        <f t="shared" si="7"/>
      </c>
      <c r="K50" s="4" t="e">
        <f t="shared" si="8"/>
        <v>#VALUE!</v>
      </c>
      <c r="L50" s="4">
        <f>IF(($H$14+1)&gt;=$A50,IF($H$14&lt;$A50,IF($K$13=0,IF($H$14=($A50-1),$H$10/$H$14*(1-$K$11),(1-$K$11)*($H$10-SUM(L$38:L49))*$E$32),0),IF($K$13=0,$H$10/$H$14,($H$10-SUM(L$38:L49))*$E$32)),"")</f>
      </c>
      <c r="M50" s="26">
        <f>(1-(SUM($D$38:D49))/$H$10)/($H$14+1-A50+1-$K$11)</f>
        <v>0</v>
      </c>
      <c r="N50"/>
    </row>
    <row r="51" spans="1:14" ht="12.75">
      <c r="A51" s="14">
        <f t="shared" si="2"/>
        <v>14</v>
      </c>
      <c r="B51" s="4">
        <f t="shared" si="3"/>
      </c>
      <c r="C51" s="21">
        <f>IF($H$17&gt;0,IF(B51="",0,(-SUM($B$38:B51)-($H$17-K51))*($H$6/100)-SUM($C$38:C50)),0)</f>
        <v>0</v>
      </c>
      <c r="D51" s="67">
        <f t="shared" si="9"/>
      </c>
      <c r="E51" s="67">
        <f t="shared" si="0"/>
      </c>
      <c r="F51" s="67">
        <f t="shared" si="4"/>
      </c>
      <c r="G51" s="70">
        <f t="shared" si="5"/>
      </c>
      <c r="H51" s="71">
        <f t="shared" si="6"/>
      </c>
      <c r="I51" s="71">
        <f t="shared" si="1"/>
      </c>
      <c r="J51" s="64">
        <f t="shared" si="7"/>
      </c>
      <c r="K51" s="4" t="e">
        <f t="shared" si="8"/>
        <v>#VALUE!</v>
      </c>
      <c r="L51" s="4">
        <f>IF(($H$14+1)&gt;=$A51,IF($H$14&lt;$A51,IF($K$13=0,IF($H$14=($A51-1),$H$10/$H$14*(1-$K$11),(1-$K$11)*($H$10-SUM(L$38:L50))*$E$32),0),IF($K$13=0,$H$10/$H$14,($H$10-SUM(L$38:L50))*$E$32)),"")</f>
      </c>
      <c r="M51" s="26">
        <f>(1-(SUM($D$38:D50))/$H$10)/($H$14+1-A51+1-$K$11)</f>
        <v>0</v>
      </c>
      <c r="N51"/>
    </row>
    <row r="52" spans="1:14" ht="12.75">
      <c r="A52" s="14">
        <f t="shared" si="2"/>
        <v>15</v>
      </c>
      <c r="B52" s="4">
        <f t="shared" si="3"/>
      </c>
      <c r="C52" s="21">
        <f>IF($H$17&gt;0,IF(B52="",0,(-SUM($B$38:B52)-($H$17-K52))*($H$6/100)-SUM($C$38:C51)),0)</f>
        <v>0</v>
      </c>
      <c r="D52" s="67">
        <f t="shared" si="9"/>
      </c>
      <c r="E52" s="67">
        <f t="shared" si="0"/>
      </c>
      <c r="F52" s="67">
        <f t="shared" si="4"/>
      </c>
      <c r="G52" s="70">
        <f t="shared" si="5"/>
      </c>
      <c r="H52" s="71">
        <f t="shared" si="6"/>
      </c>
      <c r="I52" s="71">
        <f t="shared" si="1"/>
      </c>
      <c r="J52" s="64">
        <f t="shared" si="7"/>
      </c>
      <c r="K52" s="4" t="e">
        <f t="shared" si="8"/>
        <v>#VALUE!</v>
      </c>
      <c r="L52" s="4">
        <f>IF(($H$14+1)&gt;=$A52,IF($H$14&lt;$A52,IF($K$13=0,IF($H$14=($A52-1),$H$10/$H$14*(1-$K$11),(1-$K$11)*($H$10-SUM(L$38:L51))*$E$32),0),IF($K$13=0,$H$10/$H$14,($H$10-SUM(L$38:L51))*$E$32)),"")</f>
      </c>
      <c r="M52" s="26">
        <f>(1-(SUM($D$38:D51))/$H$10)/($H$14+1-A52+1-$K$11)</f>
        <v>0</v>
      </c>
      <c r="N52"/>
    </row>
    <row r="53" spans="1:14" ht="12.75">
      <c r="A53" s="14">
        <f t="shared" si="2"/>
        <v>16</v>
      </c>
      <c r="B53" s="4">
        <f t="shared" si="3"/>
      </c>
      <c r="C53" s="21">
        <f>IF($H$17&gt;0,IF(B53="",0,(-SUM($B$38:B53)-($H$17-K53))*($H$6/100)-SUM($C$38:C52)),0)</f>
        <v>0</v>
      </c>
      <c r="D53" s="67">
        <f t="shared" si="9"/>
      </c>
      <c r="E53" s="67">
        <f t="shared" si="0"/>
      </c>
      <c r="F53" s="67">
        <f t="shared" si="4"/>
      </c>
      <c r="G53" s="70">
        <f t="shared" si="5"/>
      </c>
      <c r="H53" s="71">
        <f t="shared" si="6"/>
      </c>
      <c r="I53" s="71">
        <f t="shared" si="1"/>
      </c>
      <c r="J53" s="64">
        <f t="shared" si="7"/>
      </c>
      <c r="K53" s="4" t="e">
        <f t="shared" si="8"/>
        <v>#VALUE!</v>
      </c>
      <c r="L53" s="4">
        <f>IF(($H$14+1)&gt;=$A53,IF($H$14&lt;$A53,IF($K$13=0,IF($H$14=($A53-1),$H$10/$H$14*(1-$K$11),(1-$K$11)*($H$10-SUM(L$38:L52))*$E$32),0),IF($K$13=0,$H$10/$H$14,($H$10-SUM(L$38:L52))*$E$32)),"")</f>
      </c>
      <c r="M53" s="26">
        <f>(1-(SUM($D$38:D52))/$H$10)/($H$14+1-A53+1-$K$11)</f>
        <v>0</v>
      </c>
      <c r="N53"/>
    </row>
    <row r="54" spans="1:14" ht="12.75">
      <c r="A54" s="14">
        <f t="shared" si="2"/>
        <v>17</v>
      </c>
      <c r="B54" s="4">
        <f t="shared" si="3"/>
      </c>
      <c r="C54" s="21">
        <f>IF($H$17&gt;0,IF(B54="",0,(-SUM($B$38:B54)-($H$17-K54))*($H$6/100)-SUM($C$38:C53)),0)</f>
        <v>0</v>
      </c>
      <c r="D54" s="67">
        <f t="shared" si="9"/>
      </c>
      <c r="E54" s="67">
        <f t="shared" si="0"/>
      </c>
      <c r="F54" s="67">
        <f t="shared" si="4"/>
      </c>
      <c r="G54" s="70">
        <f t="shared" si="5"/>
      </c>
      <c r="H54" s="71">
        <f t="shared" si="6"/>
      </c>
      <c r="I54" s="71">
        <f t="shared" si="1"/>
      </c>
      <c r="J54" s="64">
        <f t="shared" si="7"/>
      </c>
      <c r="K54" s="4" t="e">
        <f t="shared" si="8"/>
        <v>#VALUE!</v>
      </c>
      <c r="L54" s="4">
        <f>IF(($H$14+1)&gt;=$A54,IF($H$14&lt;$A54,IF($K$13=0,IF($H$14=($A54-1),$H$10/$H$14*(1-$K$11),(1-$K$11)*($H$10-SUM(L$38:L53))*$E$32),0),IF($K$13=0,$H$10/$H$14,($H$10-SUM(L$38:L53))*$E$32)),"")</f>
      </c>
      <c r="M54" s="26">
        <f>(1-(SUM($D$38:D53))/$H$10)/($H$14+1-A54+1-$K$11)</f>
        <v>0</v>
      </c>
      <c r="N54"/>
    </row>
    <row r="55" spans="1:14" ht="12.75">
      <c r="A55" s="14">
        <f t="shared" si="2"/>
        <v>18</v>
      </c>
      <c r="B55" s="4">
        <f t="shared" si="3"/>
      </c>
      <c r="C55" s="21">
        <f>IF($H$17&gt;0,IF(B55="",0,(-SUM($B$38:B55)-($H$17-K55))*($H$6/100)-SUM($C$38:C54)),0)</f>
        <v>0</v>
      </c>
      <c r="D55" s="67">
        <f t="shared" si="9"/>
      </c>
      <c r="E55" s="67">
        <f t="shared" si="0"/>
      </c>
      <c r="F55" s="67">
        <f t="shared" si="4"/>
      </c>
      <c r="G55" s="70">
        <f t="shared" si="5"/>
      </c>
      <c r="H55" s="71">
        <f t="shared" si="6"/>
      </c>
      <c r="I55" s="71">
        <f t="shared" si="1"/>
      </c>
      <c r="J55" s="64">
        <f t="shared" si="7"/>
      </c>
      <c r="K55" s="4" t="e">
        <f t="shared" si="8"/>
        <v>#VALUE!</v>
      </c>
      <c r="L55" s="4">
        <f>IF(($H$14+1)&gt;=$A55,IF($H$14&lt;$A55,IF($K$13=0,IF($H$14=($A55-1),$H$10/$H$14*(1-$K$11),(1-$K$11)*($H$10-SUM(L$38:L54))*$E$32),0),IF($K$13=0,$H$10/$H$14,($H$10-SUM(L$38:L54))*$E$32)),"")</f>
      </c>
      <c r="M55" s="26">
        <f>(1-(SUM($D$38:D54))/$H$10)/($H$14+1-A55+1-$K$11)</f>
        <v>0</v>
      </c>
      <c r="N55"/>
    </row>
    <row r="56" spans="1:14" ht="12.75">
      <c r="A56" s="14">
        <f t="shared" si="2"/>
        <v>19</v>
      </c>
      <c r="B56" s="4">
        <f t="shared" si="3"/>
      </c>
      <c r="C56" s="21">
        <f>IF($H$17&gt;0,IF(B56="",0,(-SUM($B$38:B56)-($H$17-K56))*($H$6/100)-SUM($C$38:C55)),0)</f>
        <v>0</v>
      </c>
      <c r="D56" s="67">
        <f>IF(A56&lt;$H$14+1,IF(L56/$H$10&gt;M56,L56,M56*$H$10),IF(A56=$H$14+1,IF(L56/$H$10&gt;M56,L56,M56*$H$10*(1-$K$11)),""))</f>
      </c>
      <c r="E56" s="67">
        <f t="shared" si="0"/>
      </c>
      <c r="F56" s="67">
        <f t="shared" si="4"/>
      </c>
      <c r="G56" s="70">
        <f t="shared" si="5"/>
      </c>
      <c r="H56" s="71">
        <f t="shared" si="6"/>
      </c>
      <c r="I56" s="71">
        <f t="shared" si="1"/>
      </c>
      <c r="J56" s="64">
        <f t="shared" si="7"/>
      </c>
      <c r="K56" s="4" t="e">
        <f t="shared" si="8"/>
        <v>#VALUE!</v>
      </c>
      <c r="L56" s="4">
        <f>IF(($H$14+1)&gt;=$A56,IF($H$14&lt;$A56,IF($K$13=0,IF($H$14=($A56-1),$H$10/$H$14*(1-$K$11),(1-$K$11)*($H$10-SUM(L$38:L55))*$E$32),0),IF($K$13=0,$H$10/$H$14,($H$10-SUM(L$38:L55))*$E$32)),"")</f>
      </c>
      <c r="M56" s="26">
        <f>(1-(SUM($D$38:D55))/$H$10)/($H$14+1-A56+1-$K$11)</f>
        <v>0</v>
      </c>
      <c r="N56"/>
    </row>
    <row r="57" spans="1:14" ht="13.5" thickBot="1">
      <c r="A57" s="37">
        <f t="shared" si="2"/>
        <v>20</v>
      </c>
      <c r="B57" s="31">
        <f t="shared" si="3"/>
      </c>
      <c r="C57" s="30">
        <f>IF($H$17&gt;0,IF(B57="",0,(-SUM($B$38:B57)-($H$17-K57))*($H$6/100)-SUM($C$38:C56)),0)</f>
        <v>0</v>
      </c>
      <c r="D57" s="72">
        <f>IF(A57&lt;$H$14+1,IF(L57/$H$10&gt;M57,L57,M57*$H$10),IF(A57=$H$14+1,IF(L57/$H$10&gt;M57,L57,M57*$H$10*(1-$K$11)),""))</f>
      </c>
      <c r="E57" s="72">
        <f t="shared" si="0"/>
      </c>
      <c r="F57" s="72">
        <f t="shared" si="4"/>
      </c>
      <c r="G57" s="73">
        <f t="shared" si="5"/>
      </c>
      <c r="H57" s="72">
        <f t="shared" si="6"/>
      </c>
      <c r="I57" s="72">
        <f t="shared" si="1"/>
      </c>
      <c r="J57" s="74">
        <f t="shared" si="7"/>
      </c>
      <c r="K57" s="4" t="e">
        <f t="shared" si="8"/>
        <v>#VALUE!</v>
      </c>
      <c r="L57" s="4">
        <f>IF(($H$14+1)&gt;=$A57,IF($H$14&lt;$A57,IF($K$13=0,IF($H$14=($A57-1),$H$10/$H$14*(1-$K$11),(1-$K$11)*($H$10-SUM(L$38:L56))*$E$32),0),IF($K$13=0,$H$10/$H$14,($H$10-SUM(L$38:L56))*$E$32)),"")</f>
      </c>
      <c r="M57" s="26">
        <f>(1-(SUM($D$38:D56))/$H$10)/($H$14+1-A57+1-$K$11)</f>
        <v>0</v>
      </c>
      <c r="N57"/>
    </row>
    <row r="58" spans="7:14" ht="13.5" thickTop="1">
      <c r="G58" s="13"/>
      <c r="K58" s="3" t="s">
        <v>28</v>
      </c>
      <c r="N58"/>
    </row>
    <row r="59" ht="12.75">
      <c r="N59"/>
    </row>
    <row r="60" ht="12.75">
      <c r="N60"/>
    </row>
    <row r="61" ht="12.75">
      <c r="N61"/>
    </row>
    <row r="62" ht="12.75">
      <c r="N62"/>
    </row>
    <row r="63" ht="12.75">
      <c r="N63"/>
    </row>
    <row r="64" ht="12.75">
      <c r="N64"/>
    </row>
    <row r="65" ht="12.75">
      <c r="N65"/>
    </row>
    <row r="66" ht="12.75">
      <c r="N66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86" r:id="rId3"/>
  <headerFooter alignWithMargins="0">
    <oddFooter>&amp;RDairy Management at Virginia Tech
M. L. McGilliard
&amp;F, Revised 10/4/00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cp:lastPrinted>1997-01-10T05:00:29Z</cp:lastPrinted>
  <dcterms:created xsi:type="dcterms:W3CDTF">2017-03-10T15:45:54Z</dcterms:created>
  <dcterms:modified xsi:type="dcterms:W3CDTF">2017-03-10T15:45:54Z</dcterms:modified>
  <cp:category/>
  <cp:version/>
  <cp:contentType/>
  <cp:contentStatus/>
</cp:coreProperties>
</file>