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9048" activeTab="0"/>
  </bookViews>
  <sheets>
    <sheet name="Grazing Dairy" sheetId="1" r:id="rId1"/>
  </sheets>
  <definedNames>
    <definedName name="_xlnm.Print_Area" localSheetId="0">'Grazing Dairy'!$A$1:$J$125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F43" authorId="0">
      <text>
        <r>
          <rPr>
            <b/>
            <sz val="8"/>
            <rFont val="Tahoma"/>
            <family val="0"/>
          </rPr>
          <t>Marketing Charge is $5.00 per Head plus 2% of Gross Sale Proceeds.</t>
        </r>
      </text>
    </comment>
    <comment ref="F47" authorId="0">
      <text>
        <r>
          <rPr>
            <b/>
            <sz val="8"/>
            <rFont val="Tahoma"/>
            <family val="0"/>
          </rPr>
          <t>Add FICA and other employer paid taxes to wages/salary paid.</t>
        </r>
      </text>
    </comment>
    <comment ref="H47" authorId="0">
      <text>
        <r>
          <rPr>
            <b/>
            <sz val="8"/>
            <rFont val="Tahoma"/>
            <family val="0"/>
          </rPr>
          <t>Number of FTE's minus 1 FTE for the owner/operator.</t>
        </r>
      </text>
    </comment>
    <comment ref="B19" authorId="0">
      <text>
        <r>
          <rPr>
            <b/>
            <sz val="8"/>
            <rFont val="Tahoma"/>
            <family val="0"/>
          </rPr>
          <t>Storage, Handling &amp; Feeding Loss. Your values cound be significantly different.</t>
        </r>
      </text>
    </comment>
    <comment ref="E47" authorId="0">
      <text>
        <r>
          <rPr>
            <b/>
            <sz val="8"/>
            <rFont val="Tahoma"/>
            <family val="0"/>
          </rPr>
          <t>Full Time Equivants
2080 Hours</t>
        </r>
      </text>
    </comment>
    <comment ref="B12" authorId="0">
      <text>
        <r>
          <rPr>
            <b/>
            <sz val="8"/>
            <rFont val="Tahoma"/>
            <family val="0"/>
          </rPr>
          <t>Option: You can enter your actual head here.</t>
        </r>
      </text>
    </comment>
    <comment ref="B13" authorId="0">
      <text>
        <r>
          <rPr>
            <b/>
            <sz val="8"/>
            <rFont val="Tahoma"/>
            <family val="0"/>
          </rPr>
          <t>Option: You can enter your actual head here.</t>
        </r>
      </text>
    </comment>
    <comment ref="B43" authorId="0">
      <text>
        <r>
          <rPr>
            <b/>
            <sz val="8"/>
            <rFont val="Tahoma"/>
            <family val="0"/>
          </rPr>
          <t>Option: You can enter your actual marketing cost per head here.</t>
        </r>
      </text>
    </comment>
    <comment ref="B47" authorId="0">
      <text>
        <r>
          <rPr>
            <b/>
            <sz val="8"/>
            <rFont val="Tahoma"/>
            <family val="0"/>
          </rPr>
          <t>Enter your actual FTE's.
FTE= Full Time Equivalents
FTE= 2080 Hours/Year</t>
        </r>
      </text>
    </comment>
    <comment ref="C80" authorId="0">
      <text>
        <r>
          <rPr>
            <b/>
            <sz val="8"/>
            <rFont val="Tahoma"/>
            <family val="0"/>
          </rPr>
          <t>Enter Weight of feed unit in Column C if purchased by the Bushel or CWT.</t>
        </r>
      </text>
    </comment>
  </commentList>
</comments>
</file>

<file path=xl/sharedStrings.xml><?xml version="1.0" encoding="utf-8"?>
<sst xmlns="http://schemas.openxmlformats.org/spreadsheetml/2006/main" count="451" uniqueCount="116">
  <si>
    <t/>
  </si>
  <si>
    <t>TOTAL</t>
  </si>
  <si>
    <t>UNIT</t>
  </si>
  <si>
    <t>QUANTITY</t>
  </si>
  <si>
    <t>PRICE</t>
  </si>
  <si>
    <t>ITEM</t>
  </si>
  <si>
    <t>@</t>
  </si>
  <si>
    <t>COWS</t>
  </si>
  <si>
    <t>% ANNUAL COW DEATH LOSS</t>
  </si>
  <si>
    <t xml:space="preserve"> </t>
  </si>
  <si>
    <t xml:space="preserve"> SBOM 48%</t>
  </si>
  <si>
    <t xml:space="preserve"> ANNUAL DEBT SERVICE</t>
  </si>
  <si>
    <t xml:space="preserve">       TOTAL ANNUAL DEBT PAYMENTS</t>
  </si>
  <si>
    <t>LBS PRODUCTION PER COW</t>
  </si>
  <si>
    <t>% COWS LEAVING HERD ANNUALLY</t>
  </si>
  <si>
    <t xml:space="preserve"> OTHER</t>
  </si>
  <si>
    <t xml:space="preserve"> DHIA</t>
  </si>
  <si>
    <r>
      <t>Page 2</t>
    </r>
    <r>
      <rPr>
        <sz val="10"/>
        <rFont val="Arial"/>
        <family val="0"/>
      </rPr>
      <t xml:space="preserve">  </t>
    </r>
  </si>
  <si>
    <t>Amount</t>
  </si>
  <si>
    <t>Percent</t>
  </si>
  <si>
    <t>Length</t>
  </si>
  <si>
    <t>Annual</t>
  </si>
  <si>
    <t xml:space="preserve">  Item</t>
  </si>
  <si>
    <t>Borrowed</t>
  </si>
  <si>
    <t>Interest</t>
  </si>
  <si>
    <t>of Loan</t>
  </si>
  <si>
    <t>Payment</t>
  </si>
  <si>
    <t xml:space="preserve"> Bred Heifers</t>
  </si>
  <si>
    <t xml:space="preserve"> Item Name</t>
  </si>
  <si>
    <t>Lactating</t>
  </si>
  <si>
    <t>Cows</t>
  </si>
  <si>
    <t>Dry</t>
  </si>
  <si>
    <t>Bred</t>
  </si>
  <si>
    <t>Heifers</t>
  </si>
  <si>
    <t>Open Heifers</t>
  </si>
  <si>
    <t xml:space="preserve"> __________</t>
  </si>
  <si>
    <t>Developed by Virginia Cooperative Extension Farm Business Management Staff</t>
  </si>
  <si>
    <t>Trade and brand names are used only for the purpose of providing information.  Virginia Cooperative Extension does not guarantee or warrant</t>
  </si>
  <si>
    <t>the standard of any product named to the exclusion of others which also may be suitable.</t>
  </si>
  <si>
    <t xml:space="preserve"> Milk</t>
  </si>
  <si>
    <t xml:space="preserve"> Bull Calves</t>
  </si>
  <si>
    <t xml:space="preserve"> Crop Sales</t>
  </si>
  <si>
    <t xml:space="preserve"> Corn Silage, KP</t>
  </si>
  <si>
    <t xml:space="preserve"> Alfalfa Haylage</t>
  </si>
  <si>
    <t xml:space="preserve"> Alfalfa Hay</t>
  </si>
  <si>
    <t xml:space="preserve"> Orchardgrass Hay</t>
  </si>
  <si>
    <t xml:space="preserve"> Corn Grain</t>
  </si>
  <si>
    <t xml:space="preserve"> Corn Distillers w/ SOL.</t>
  </si>
  <si>
    <t xml:space="preserve"> Roasted Soybeans</t>
  </si>
  <si>
    <t xml:space="preserve"> Other Feed</t>
  </si>
  <si>
    <t>Number of Head =</t>
  </si>
  <si>
    <t>Days Fed =</t>
  </si>
  <si>
    <t>Cwt</t>
  </si>
  <si>
    <t>Head</t>
  </si>
  <si>
    <t>Acre</t>
  </si>
  <si>
    <t xml:space="preserve"> Minerals</t>
  </si>
  <si>
    <t xml:space="preserve"> Milk Replacer</t>
  </si>
  <si>
    <t xml:space="preserve"> Calf Grower</t>
  </si>
  <si>
    <t xml:space="preserve"> Vet &amp; Medicine</t>
  </si>
  <si>
    <t xml:space="preserve"> Supplies</t>
  </si>
  <si>
    <t xml:space="preserve"> Hauling Milk</t>
  </si>
  <si>
    <t xml:space="preserve"> Assessment/Advertising/Etc.</t>
  </si>
  <si>
    <t xml:space="preserve"> Building &amp; Fence Repairs</t>
  </si>
  <si>
    <t xml:space="preserve"> Machinery (Non-Crop)</t>
  </si>
  <si>
    <t xml:space="preserve"> Utilities</t>
  </si>
  <si>
    <t xml:space="preserve"> Farm Insurance</t>
  </si>
  <si>
    <t xml:space="preserve"> Custom Hire</t>
  </si>
  <si>
    <t xml:space="preserve"> Taxes</t>
  </si>
  <si>
    <t>500-800#</t>
  </si>
  <si>
    <t>300-500#</t>
  </si>
  <si>
    <t>Notes:</t>
  </si>
  <si>
    <t>to Dairy</t>
  </si>
  <si>
    <t xml:space="preserve">Total </t>
  </si>
  <si>
    <t xml:space="preserve">Tons </t>
  </si>
  <si>
    <t xml:space="preserve"> Market Cull Cattle</t>
  </si>
  <si>
    <t>$/Head</t>
  </si>
  <si>
    <t>FTE</t>
  </si>
  <si>
    <t xml:space="preserve"> Hoof Trimming</t>
  </si>
  <si>
    <t xml:space="preserve"> Other Expenses</t>
  </si>
  <si>
    <t>3. VARIABLE COSTS</t>
  </si>
  <si>
    <t>1. GROSS RECEIPTS</t>
  </si>
  <si>
    <t>2. TOTAL GROSS RECEIPTS</t>
  </si>
  <si>
    <t>Feed Loss</t>
  </si>
  <si>
    <t xml:space="preserve"> Dairy Heifers &amp; Cows</t>
  </si>
  <si>
    <t xml:space="preserve"> Labor (FTE's)</t>
  </si>
  <si>
    <t>Cows per</t>
  </si>
  <si>
    <t>% CONCEPTION RATE</t>
  </si>
  <si>
    <t>HEAD</t>
  </si>
  <si>
    <t>Your Farm</t>
  </si>
  <si>
    <t xml:space="preserve"> Cull Cows &amp; Heifers</t>
  </si>
  <si>
    <t xml:space="preserve"> Cooperative Distributions</t>
  </si>
  <si>
    <t>5. ANNUAL DEBT PAYMENTS</t>
  </si>
  <si>
    <t>7. Price Sensitivity Analysis</t>
  </si>
  <si>
    <t>Percent Change in Total Gross Receipts</t>
  </si>
  <si>
    <t>--- Net Cash Return over Total Variable Costs per Cow ---</t>
  </si>
  <si>
    <t>Change in</t>
  </si>
  <si>
    <t>Total Variable</t>
  </si>
  <si>
    <t>Costs</t>
  </si>
  <si>
    <t>Table Sensitivity Increment</t>
  </si>
  <si>
    <t>8. RATIONS</t>
  </si>
  <si>
    <t>Per Cow</t>
  </si>
  <si>
    <t xml:space="preserve">PUBLICATION 446-047 </t>
  </si>
  <si>
    <r>
      <t xml:space="preserve">6. PROJECTED NET RETURN TO </t>
    </r>
    <r>
      <rPr>
        <b/>
        <sz val="10"/>
        <rFont val="Arial Narrow"/>
        <family val="2"/>
      </rPr>
      <t>EQUITY, MANAGEMENT, &amp; OPERATOR LABOR</t>
    </r>
  </si>
  <si>
    <t xml:space="preserve"> Farm/Land Rent</t>
  </si>
  <si>
    <t>(Excludes Interest)</t>
  </si>
  <si>
    <t>4. TOTAL VARIABLE COSTS (Excludes Interest)</t>
  </si>
  <si>
    <t>GRAZING DAIRY COW - 16000 Lb Production</t>
  </si>
  <si>
    <t xml:space="preserve"> Forage from Pasture</t>
  </si>
  <si>
    <t xml:space="preserve"> Breeding (AI &amp; Bulls)</t>
  </si>
  <si>
    <t>Lbs/Head/Day</t>
  </si>
  <si>
    <t>Unit</t>
  </si>
  <si>
    <t>Acres per Cow</t>
  </si>
  <si>
    <t xml:space="preserve">   Alfalfa/Orchardgrass</t>
  </si>
  <si>
    <t xml:space="preserve">   Orchardgrass/Clover</t>
  </si>
  <si>
    <t xml:space="preserve"> Pasture:</t>
  </si>
  <si>
    <t xml:space="preserve">   Fescue/Clover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</si>
</sst>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mm/dd/yy_)"/>
    <numFmt numFmtId="170" formatCode="0_)"/>
    <numFmt numFmtId="171" formatCode="0.00_)"/>
    <numFmt numFmtId="172" formatCode="0.0_)"/>
    <numFmt numFmtId="173" formatCode="dd\-mmm\-yy_)"/>
    <numFmt numFmtId="174" formatCode="#,##0.0_);\(#,##0.0\)"/>
    <numFmt numFmtId="175" formatCode="0_);\(0\)"/>
    <numFmt numFmtId="176" formatCode="General_)"/>
    <numFmt numFmtId="177" formatCode="&quot;$&quot;#,##0.0000_);\(&quot;$&quot;#,##0.0000\)"/>
    <numFmt numFmtId="178" formatCode="&quot;$&quot;#,##0.00;[Red]&quot;$&quot;#,##0.00"/>
  </numFmts>
  <fonts count="61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0"/>
    </font>
    <font>
      <sz val="12"/>
      <color indexed="12"/>
      <name val="Arial"/>
      <family val="2"/>
    </font>
    <font>
      <sz val="12"/>
      <color indexed="13"/>
      <name val="Arial"/>
      <family val="0"/>
    </font>
    <font>
      <b/>
      <sz val="16"/>
      <name val="Arial Narrow"/>
      <family val="2"/>
    </font>
    <font>
      <sz val="10"/>
      <color indexed="12"/>
      <name val="Arial"/>
      <family val="0"/>
    </font>
    <font>
      <sz val="16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12"/>
      <name val="Arial"/>
      <family val="0"/>
    </font>
    <font>
      <b/>
      <sz val="8"/>
      <name val="Tahoma"/>
      <family val="0"/>
    </font>
    <font>
      <sz val="12"/>
      <color indexed="8"/>
      <name val="Arial Narrow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1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4">
    <xf numFmtId="2" fontId="0" fillId="2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>
      <alignment horizontal="fill"/>
    </xf>
    <xf numFmtId="2" fontId="0" fillId="0" borderId="0" xfId="0" applyFill="1" applyAlignment="1">
      <alignment/>
    </xf>
    <xf numFmtId="0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33" borderId="0" xfId="0" applyNumberFormat="1" applyFont="1" applyFill="1" applyAlignment="1" applyProtection="1">
      <alignment/>
      <protection locked="0"/>
    </xf>
    <xf numFmtId="2" fontId="0" fillId="33" borderId="0" xfId="0" applyFill="1" applyAlignment="1">
      <alignment/>
    </xf>
    <xf numFmtId="1" fontId="0" fillId="33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2" fontId="0" fillId="33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>
      <alignment horizontal="fill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10" fillId="34" borderId="0" xfId="0" applyNumberFormat="1" applyFont="1" applyFill="1" applyBorder="1" applyAlignment="1">
      <alignment horizontal="center"/>
    </xf>
    <xf numFmtId="2" fontId="9" fillId="34" borderId="0" xfId="0" applyNumberFormat="1" applyFont="1" applyFill="1" applyBorder="1" applyAlignment="1" applyProtection="1">
      <alignment/>
      <protection locked="0"/>
    </xf>
    <xf numFmtId="164" fontId="9" fillId="34" borderId="0" xfId="0" applyNumberFormat="1" applyFont="1" applyFill="1" applyBorder="1" applyAlignment="1" applyProtection="1">
      <alignment horizontal="center"/>
      <protection locked="0"/>
    </xf>
    <xf numFmtId="2" fontId="4" fillId="34" borderId="0" xfId="0" applyNumberFormat="1" applyFont="1" applyFill="1" applyBorder="1" applyAlignment="1" applyProtection="1">
      <alignment horizontal="right"/>
      <protection locked="0"/>
    </xf>
    <xf numFmtId="2" fontId="9" fillId="0" borderId="0" xfId="0" applyNumberFormat="1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Fill="1" applyAlignment="1" applyProtection="1">
      <alignment/>
      <protection locked="0"/>
    </xf>
    <xf numFmtId="2" fontId="7" fillId="0" borderId="0" xfId="0" applyFont="1" applyAlignment="1">
      <alignment/>
    </xf>
    <xf numFmtId="2" fontId="7" fillId="0" borderId="10" xfId="0" applyFont="1" applyBorder="1" applyAlignment="1" applyProtection="1">
      <alignment horizontal="left"/>
      <protection/>
    </xf>
    <xf numFmtId="2" fontId="7" fillId="0" borderId="10" xfId="0" applyFont="1" applyBorder="1" applyAlignment="1">
      <alignment/>
    </xf>
    <xf numFmtId="2" fontId="4" fillId="0" borderId="10" xfId="0" applyFont="1" applyBorder="1" applyAlignment="1">
      <alignment/>
    </xf>
    <xf numFmtId="2" fontId="7" fillId="0" borderId="10" xfId="0" applyFont="1" applyBorder="1" applyAlignment="1" applyProtection="1">
      <alignment horizontal="right"/>
      <protection/>
    </xf>
    <xf numFmtId="2" fontId="7" fillId="0" borderId="10" xfId="0" applyFont="1" applyBorder="1" applyAlignment="1" applyProtection="1">
      <alignment horizontal="center"/>
      <protection/>
    </xf>
    <xf numFmtId="2" fontId="7" fillId="0" borderId="0" xfId="0" applyFont="1" applyAlignment="1">
      <alignment horizontal="center"/>
    </xf>
    <xf numFmtId="170" fontId="7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 horizontal="left"/>
      <protection/>
    </xf>
    <xf numFmtId="171" fontId="11" fillId="0" borderId="0" xfId="0" applyNumberFormat="1" applyFont="1" applyAlignment="1" applyProtection="1">
      <alignment/>
      <protection locked="0"/>
    </xf>
    <xf numFmtId="171" fontId="7" fillId="0" borderId="0" xfId="0" applyNumberFormat="1" applyFont="1" applyAlignment="1" applyProtection="1">
      <alignment/>
      <protection/>
    </xf>
    <xf numFmtId="7" fontId="7" fillId="0" borderId="0" xfId="0" applyNumberFormat="1" applyFont="1" applyAlignment="1" applyProtection="1">
      <alignment/>
      <protection/>
    </xf>
    <xf numFmtId="170" fontId="11" fillId="0" borderId="0" xfId="0" applyNumberFormat="1" applyFont="1" applyAlignment="1" applyProtection="1">
      <alignment/>
      <protection locked="0"/>
    </xf>
    <xf numFmtId="172" fontId="11" fillId="0" borderId="0" xfId="0" applyNumberFormat="1" applyFont="1" applyAlignment="1" applyProtection="1">
      <alignment/>
      <protection locked="0"/>
    </xf>
    <xf numFmtId="2" fontId="7" fillId="0" borderId="11" xfId="0" applyFont="1" applyBorder="1" applyAlignment="1">
      <alignment/>
    </xf>
    <xf numFmtId="2" fontId="7" fillId="0" borderId="0" xfId="0" applyFont="1" applyAlignment="1">
      <alignment horizontal="right"/>
    </xf>
    <xf numFmtId="173" fontId="7" fillId="0" borderId="0" xfId="0" applyNumberFormat="1" applyFont="1" applyAlignment="1" applyProtection="1">
      <alignment horizontal="left"/>
      <protection/>
    </xf>
    <xf numFmtId="2" fontId="7" fillId="0" borderId="12" xfId="0" applyFont="1" applyBorder="1" applyAlignment="1">
      <alignment/>
    </xf>
    <xf numFmtId="170" fontId="11" fillId="0" borderId="12" xfId="0" applyNumberFormat="1" applyFont="1" applyBorder="1" applyAlignment="1" applyProtection="1">
      <alignment/>
      <protection locked="0"/>
    </xf>
    <xf numFmtId="171" fontId="7" fillId="0" borderId="0" xfId="0" applyNumberFormat="1" applyFont="1" applyAlignment="1" applyProtection="1">
      <alignment horizontal="right"/>
      <protection/>
    </xf>
    <xf numFmtId="2" fontId="7" fillId="0" borderId="12" xfId="0" applyFont="1" applyBorder="1" applyAlignment="1">
      <alignment horizontal="right"/>
    </xf>
    <xf numFmtId="37" fontId="11" fillId="0" borderId="0" xfId="0" applyNumberFormat="1" applyFont="1" applyAlignment="1" applyProtection="1">
      <alignment/>
      <protection locked="0"/>
    </xf>
    <xf numFmtId="7" fontId="7" fillId="0" borderId="0" xfId="0" applyNumberFormat="1" applyFont="1" applyAlignment="1" applyProtection="1">
      <alignment horizontal="left"/>
      <protection/>
    </xf>
    <xf numFmtId="7" fontId="11" fillId="0" borderId="0" xfId="0" applyNumberFormat="1" applyFont="1" applyAlignment="1" applyProtection="1">
      <alignment/>
      <protection locked="0"/>
    </xf>
    <xf numFmtId="7" fontId="7" fillId="0" borderId="0" xfId="0" applyNumberFormat="1" applyFont="1" applyAlignment="1" applyProtection="1">
      <alignment horizontal="center"/>
      <protection/>
    </xf>
    <xf numFmtId="7" fontId="11" fillId="0" borderId="0" xfId="0" applyNumberFormat="1" applyFont="1" applyAlignment="1" applyProtection="1">
      <alignment horizontal="left"/>
      <protection locked="0"/>
    </xf>
    <xf numFmtId="7" fontId="7" fillId="0" borderId="0" xfId="0" applyNumberFormat="1" applyFont="1" applyAlignment="1" applyProtection="1">
      <alignment horizontal="right"/>
      <protection/>
    </xf>
    <xf numFmtId="7" fontId="7" fillId="0" borderId="0" xfId="0" applyNumberFormat="1" applyFont="1" applyAlignment="1" applyProtection="1">
      <alignment horizontal="left"/>
      <protection locked="0"/>
    </xf>
    <xf numFmtId="7" fontId="7" fillId="0" borderId="0" xfId="0" applyNumberFormat="1" applyFont="1" applyAlignment="1" applyProtection="1">
      <alignment horizontal="fill"/>
      <protection/>
    </xf>
    <xf numFmtId="7" fontId="7" fillId="0" borderId="12" xfId="0" applyNumberFormat="1" applyFont="1" applyBorder="1" applyAlignment="1" applyProtection="1">
      <alignment horizontal="fill"/>
      <protection/>
    </xf>
    <xf numFmtId="7" fontId="4" fillId="0" borderId="0" xfId="0" applyNumberFormat="1" applyFont="1" applyAlignment="1" applyProtection="1">
      <alignment horizontal="left"/>
      <protection/>
    </xf>
    <xf numFmtId="172" fontId="7" fillId="0" borderId="0" xfId="0" applyNumberFormat="1" applyFont="1" applyAlignment="1" applyProtection="1">
      <alignment/>
      <protection/>
    </xf>
    <xf numFmtId="7" fontId="12" fillId="0" borderId="0" xfId="0" applyNumberFormat="1" applyFont="1" applyAlignment="1" applyProtection="1">
      <alignment horizontal="center"/>
      <protection/>
    </xf>
    <xf numFmtId="1" fontId="7" fillId="0" borderId="0" xfId="0" applyNumberFormat="1" applyFont="1" applyAlignment="1">
      <alignment/>
    </xf>
    <xf numFmtId="49" fontId="14" fillId="0" borderId="10" xfId="0" applyNumberFormat="1" applyFont="1" applyBorder="1" applyAlignment="1" applyProtection="1">
      <alignment horizontal="right"/>
      <protection/>
    </xf>
    <xf numFmtId="2" fontId="1" fillId="0" borderId="0" xfId="0" applyFont="1" applyAlignment="1" applyProtection="1">
      <alignment horizontal="left"/>
      <protection/>
    </xf>
    <xf numFmtId="2" fontId="7" fillId="0" borderId="0" xfId="0" applyFont="1" applyAlignment="1" applyProtection="1">
      <alignment horizontal="right"/>
      <protection/>
    </xf>
    <xf numFmtId="2" fontId="7" fillId="0" borderId="0" xfId="0" applyFont="1" applyAlignment="1" applyProtection="1">
      <alignment horizontal="center"/>
      <protection/>
    </xf>
    <xf numFmtId="2" fontId="7" fillId="0" borderId="12" xfId="0" applyFont="1" applyBorder="1" applyAlignment="1" applyProtection="1">
      <alignment horizontal="left"/>
      <protection/>
    </xf>
    <xf numFmtId="2" fontId="7" fillId="0" borderId="12" xfId="0" applyFont="1" applyBorder="1" applyAlignment="1" applyProtection="1">
      <alignment horizontal="right"/>
      <protection/>
    </xf>
    <xf numFmtId="2" fontId="7" fillId="0" borderId="12" xfId="0" applyFont="1" applyBorder="1" applyAlignment="1" applyProtection="1">
      <alignment horizontal="center"/>
      <protection/>
    </xf>
    <xf numFmtId="2" fontId="7" fillId="0" borderId="0" xfId="0" applyFont="1" applyAlignment="1" applyProtection="1">
      <alignment horizontal="fill"/>
      <protection/>
    </xf>
    <xf numFmtId="2" fontId="11" fillId="0" borderId="0" xfId="0" applyFont="1" applyAlignment="1" applyProtection="1">
      <alignment horizontal="left"/>
      <protection locked="0"/>
    </xf>
    <xf numFmtId="2" fontId="11" fillId="0" borderId="0" xfId="0" applyFont="1" applyAlignment="1" applyProtection="1">
      <alignment/>
      <protection locked="0"/>
    </xf>
    <xf numFmtId="1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9" fontId="11" fillId="0" borderId="0" xfId="0" applyNumberFormat="1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>
      <alignment/>
    </xf>
    <xf numFmtId="2" fontId="7" fillId="0" borderId="12" xfId="0" applyFont="1" applyBorder="1" applyAlignment="1" applyProtection="1">
      <alignment horizontal="fill"/>
      <protection/>
    </xf>
    <xf numFmtId="164" fontId="7" fillId="0" borderId="12" xfId="0" applyNumberFormat="1" applyFont="1" applyBorder="1" applyAlignment="1" applyProtection="1">
      <alignment horizontal="fill"/>
      <protection/>
    </xf>
    <xf numFmtId="2" fontId="4" fillId="0" borderId="11" xfId="0" applyFont="1" applyBorder="1" applyAlignment="1">
      <alignment/>
    </xf>
    <xf numFmtId="170" fontId="7" fillId="0" borderId="11" xfId="0" applyNumberFormat="1" applyFont="1" applyBorder="1" applyAlignment="1" applyProtection="1">
      <alignment/>
      <protection/>
    </xf>
    <xf numFmtId="5" fontId="1" fillId="0" borderId="11" xfId="0" applyNumberFormat="1" applyFont="1" applyBorder="1" applyAlignment="1" applyProtection="1">
      <alignment horizontal="left"/>
      <protection/>
    </xf>
    <xf numFmtId="2" fontId="1" fillId="0" borderId="11" xfId="0" applyFont="1" applyBorder="1" applyAlignment="1">
      <alignment/>
    </xf>
    <xf numFmtId="170" fontId="1" fillId="0" borderId="11" xfId="0" applyNumberFormat="1" applyFont="1" applyBorder="1" applyAlignment="1" applyProtection="1">
      <alignment/>
      <protection/>
    </xf>
    <xf numFmtId="164" fontId="1" fillId="0" borderId="11" xfId="0" applyNumberFormat="1" applyFont="1" applyBorder="1" applyAlignment="1" applyProtection="1">
      <alignment/>
      <protection/>
    </xf>
    <xf numFmtId="2" fontId="7" fillId="0" borderId="11" xfId="0" applyFont="1" applyBorder="1" applyAlignment="1" applyProtection="1">
      <alignment horizontal="center"/>
      <protection/>
    </xf>
    <xf numFmtId="2" fontId="15" fillId="0" borderId="13" xfId="0" applyFont="1" applyFill="1" applyBorder="1" applyAlignment="1" applyProtection="1">
      <alignment/>
      <protection/>
    </xf>
    <xf numFmtId="2" fontId="0" fillId="0" borderId="13" xfId="0" applyNumberFormat="1" applyFont="1" applyFill="1" applyBorder="1" applyAlignment="1" applyProtection="1">
      <alignment/>
      <protection/>
    </xf>
    <xf numFmtId="2" fontId="0" fillId="0" borderId="13" xfId="0" applyNumberFormat="1" applyFont="1" applyFill="1" applyBorder="1" applyAlignment="1" applyProtection="1">
      <alignment/>
      <protection locked="0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2" fontId="0" fillId="0" borderId="13" xfId="0" applyFill="1" applyBorder="1" applyAlignment="1">
      <alignment/>
    </xf>
    <xf numFmtId="164" fontId="0" fillId="0" borderId="0" xfId="0" applyNumberFormat="1" applyFont="1" applyFill="1" applyAlignment="1" applyProtection="1">
      <alignment horizontal="center"/>
      <protection locked="0"/>
    </xf>
    <xf numFmtId="7" fontId="1" fillId="0" borderId="0" xfId="0" applyNumberFormat="1" applyFont="1" applyAlignment="1" applyProtection="1">
      <alignment horizontal="left"/>
      <protection/>
    </xf>
    <xf numFmtId="166" fontId="11" fillId="0" borderId="0" xfId="0" applyNumberFormat="1" applyFont="1" applyAlignment="1" applyProtection="1">
      <alignment horizontal="center"/>
      <protection locked="0"/>
    </xf>
    <xf numFmtId="7" fontId="7" fillId="0" borderId="12" xfId="0" applyNumberFormat="1" applyFont="1" applyBorder="1" applyAlignment="1" applyProtection="1">
      <alignment horizontal="right"/>
      <protection/>
    </xf>
    <xf numFmtId="7" fontId="7" fillId="0" borderId="0" xfId="0" applyNumberFormat="1" applyFont="1" applyBorder="1" applyAlignment="1" applyProtection="1">
      <alignment horizontal="right"/>
      <protection/>
    </xf>
    <xf numFmtId="7" fontId="7" fillId="0" borderId="0" xfId="0" applyNumberFormat="1" applyFont="1" applyAlignment="1" applyProtection="1">
      <alignment/>
      <protection/>
    </xf>
    <xf numFmtId="7" fontId="11" fillId="0" borderId="0" xfId="0" applyNumberFormat="1" applyFont="1" applyAlignment="1" applyProtection="1">
      <alignment horizontal="left"/>
      <protection/>
    </xf>
    <xf numFmtId="2" fontId="0" fillId="0" borderId="0" xfId="0" applyNumberFormat="1" applyFont="1" applyFill="1" applyAlignment="1" applyProtection="1">
      <alignment horizontal="right"/>
      <protection locked="0"/>
    </xf>
    <xf numFmtId="175" fontId="0" fillId="0" borderId="0" xfId="0" applyNumberFormat="1" applyFont="1" applyFill="1" applyAlignment="1" applyProtection="1">
      <alignment/>
      <protection/>
    </xf>
    <xf numFmtId="2" fontId="0" fillId="0" borderId="12" xfId="0" applyNumberFormat="1" applyFont="1" applyFill="1" applyBorder="1" applyAlignment="1" applyProtection="1">
      <alignment horizontal="right"/>
      <protection locked="0"/>
    </xf>
    <xf numFmtId="2" fontId="0" fillId="0" borderId="12" xfId="0" applyNumberFormat="1" applyFont="1" applyFill="1" applyBorder="1" applyAlignment="1" applyProtection="1">
      <alignment/>
      <protection locked="0"/>
    </xf>
    <xf numFmtId="1" fontId="17" fillId="0" borderId="0" xfId="0" applyNumberFormat="1" applyFont="1" applyAlignment="1">
      <alignment horizontal="center"/>
    </xf>
    <xf numFmtId="170" fontId="7" fillId="0" borderId="0" xfId="0" applyNumberFormat="1" applyFont="1" applyAlignment="1" applyProtection="1">
      <alignment/>
      <protection/>
    </xf>
    <xf numFmtId="2" fontId="7" fillId="0" borderId="0" xfId="0" applyFont="1" applyAlignment="1" applyProtection="1" quotePrefix="1">
      <alignment horizontal="center"/>
      <protection/>
    </xf>
    <xf numFmtId="171" fontId="7" fillId="0" borderId="0" xfId="0" applyNumberFormat="1" applyFont="1" applyAlignment="1" applyProtection="1" quotePrefix="1">
      <alignment/>
      <protection/>
    </xf>
    <xf numFmtId="2" fontId="7" fillId="0" borderId="0" xfId="0" applyFont="1" applyAlignment="1" applyProtection="1">
      <alignment horizontal="left"/>
      <protection/>
    </xf>
    <xf numFmtId="7" fontId="7" fillId="0" borderId="0" xfId="0" applyNumberFormat="1" applyFont="1" applyAlignment="1" applyProtection="1" quotePrefix="1">
      <alignment/>
      <protection/>
    </xf>
    <xf numFmtId="176" fontId="7" fillId="0" borderId="0" xfId="0" applyNumberFormat="1" applyFont="1" applyAlignment="1" applyProtection="1">
      <alignment/>
      <protection/>
    </xf>
    <xf numFmtId="2" fontId="7" fillId="0" borderId="0" xfId="0" applyFont="1" applyBorder="1" applyAlignment="1">
      <alignment/>
    </xf>
    <xf numFmtId="2" fontId="4" fillId="0" borderId="0" xfId="0" applyFont="1" applyBorder="1" applyAlignment="1">
      <alignment/>
    </xf>
    <xf numFmtId="2" fontId="7" fillId="0" borderId="0" xfId="0" applyFont="1" applyBorder="1" applyAlignment="1" applyProtection="1">
      <alignment horizontal="center"/>
      <protection/>
    </xf>
    <xf numFmtId="2" fontId="7" fillId="0" borderId="0" xfId="0" applyFont="1" applyBorder="1" applyAlignment="1" applyProtection="1">
      <alignment horizontal="right"/>
      <protection/>
    </xf>
    <xf numFmtId="2" fontId="1" fillId="0" borderId="0" xfId="0" applyFont="1" applyAlignment="1">
      <alignment/>
    </xf>
    <xf numFmtId="2" fontId="1" fillId="0" borderId="0" xfId="0" applyFont="1" applyBorder="1" applyAlignment="1" applyProtection="1">
      <alignment horizontal="left"/>
      <protection/>
    </xf>
    <xf numFmtId="1" fontId="19" fillId="0" borderId="0" xfId="0" applyNumberFormat="1" applyFont="1" applyFill="1" applyAlignment="1" applyProtection="1">
      <alignment/>
      <protection locked="0"/>
    </xf>
    <xf numFmtId="168" fontId="7" fillId="0" borderId="0" xfId="0" applyNumberFormat="1" applyFont="1" applyAlignment="1" applyProtection="1">
      <alignment/>
      <protection/>
    </xf>
    <xf numFmtId="170" fontId="20" fillId="0" borderId="0" xfId="0" applyNumberFormat="1" applyFont="1" applyAlignment="1" applyProtection="1">
      <alignment/>
      <protection locked="0"/>
    </xf>
    <xf numFmtId="7" fontId="14" fillId="0" borderId="0" xfId="0" applyNumberFormat="1" applyFont="1" applyAlignment="1" applyProtection="1">
      <alignment horizontal="left"/>
      <protection/>
    </xf>
    <xf numFmtId="2" fontId="21" fillId="0" borderId="0" xfId="0" applyNumberFormat="1" applyFont="1" applyFill="1" applyAlignment="1" applyProtection="1">
      <alignment/>
      <protection locked="0"/>
    </xf>
    <xf numFmtId="164" fontId="21" fillId="0" borderId="0" xfId="0" applyNumberFormat="1" applyFont="1" applyFill="1" applyAlignment="1" applyProtection="1">
      <alignment horizontal="center"/>
      <protection locked="0"/>
    </xf>
    <xf numFmtId="172" fontId="20" fillId="0" borderId="0" xfId="0" applyNumberFormat="1" applyFont="1" applyAlignment="1" applyProtection="1">
      <alignment/>
      <protection locked="0"/>
    </xf>
    <xf numFmtId="170" fontId="1" fillId="0" borderId="0" xfId="0" applyNumberFormat="1" applyFont="1" applyAlignment="1" applyProtection="1">
      <alignment/>
      <protection/>
    </xf>
    <xf numFmtId="2" fontId="14" fillId="0" borderId="0" xfId="0" applyFont="1" applyAlignment="1" applyProtection="1">
      <alignment horizontal="left"/>
      <protection/>
    </xf>
    <xf numFmtId="2" fontId="7" fillId="0" borderId="10" xfId="0" applyFont="1" applyBorder="1" applyAlignment="1">
      <alignment horizontal="right"/>
    </xf>
    <xf numFmtId="37" fontId="7" fillId="0" borderId="0" xfId="0" applyNumberFormat="1" applyFont="1" applyAlignment="1">
      <alignment horizontal="right"/>
    </xf>
    <xf numFmtId="37" fontId="11" fillId="0" borderId="12" xfId="0" applyNumberFormat="1" applyFont="1" applyBorder="1" applyAlignment="1">
      <alignment horizontal="right"/>
    </xf>
    <xf numFmtId="174" fontId="11" fillId="0" borderId="0" xfId="0" applyNumberFormat="1" applyFont="1" applyAlignment="1">
      <alignment horizontal="right"/>
    </xf>
    <xf numFmtId="175" fontId="7" fillId="0" borderId="0" xfId="0" applyNumberFormat="1" applyFont="1" applyAlignment="1" applyProtection="1" quotePrefix="1">
      <alignment/>
      <protection/>
    </xf>
    <xf numFmtId="170" fontId="7" fillId="0" borderId="0" xfId="0" applyNumberFormat="1" applyFont="1" applyAlignment="1" applyProtection="1" quotePrefix="1">
      <alignment/>
      <protection/>
    </xf>
    <xf numFmtId="175" fontId="11" fillId="0" borderId="14" xfId="0" applyNumberFormat="1" applyFont="1" applyBorder="1" applyAlignment="1">
      <alignment/>
    </xf>
    <xf numFmtId="175" fontId="7" fillId="0" borderId="0" xfId="0" applyNumberFormat="1" applyFont="1" applyAlignment="1" applyProtection="1">
      <alignment/>
      <protection/>
    </xf>
    <xf numFmtId="7" fontId="1" fillId="0" borderId="0" xfId="0" applyNumberFormat="1" applyFont="1" applyAlignment="1" applyProtection="1">
      <alignment/>
      <protection/>
    </xf>
    <xf numFmtId="7" fontId="1" fillId="0" borderId="11" xfId="0" applyNumberFormat="1" applyFont="1" applyBorder="1" applyAlignment="1" applyProtection="1">
      <alignment horizontal="left"/>
      <protection/>
    </xf>
    <xf numFmtId="8" fontId="1" fillId="0" borderId="11" xfId="0" applyNumberFormat="1" applyFont="1" applyBorder="1" applyAlignment="1" applyProtection="1">
      <alignment/>
      <protection/>
    </xf>
    <xf numFmtId="7" fontId="14" fillId="0" borderId="0" xfId="0" applyNumberFormat="1" applyFont="1" applyBorder="1" applyAlignment="1" applyProtection="1">
      <alignment horizontal="left"/>
      <protection/>
    </xf>
    <xf numFmtId="7" fontId="7" fillId="0" borderId="0" xfId="0" applyNumberFormat="1" applyFont="1" applyBorder="1" applyAlignment="1" applyProtection="1">
      <alignment/>
      <protection/>
    </xf>
    <xf numFmtId="170" fontId="7" fillId="0" borderId="0" xfId="0" applyNumberFormat="1" applyFont="1" applyBorder="1" applyAlignment="1" applyProtection="1">
      <alignment/>
      <protection/>
    </xf>
    <xf numFmtId="49" fontId="14" fillId="0" borderId="0" xfId="0" applyNumberFormat="1" applyFont="1" applyBorder="1" applyAlignment="1" applyProtection="1">
      <alignment horizontal="right"/>
      <protection/>
    </xf>
    <xf numFmtId="2" fontId="7" fillId="0" borderId="0" xfId="0" applyFont="1" applyBorder="1" applyAlignment="1">
      <alignment horizontal="center"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 applyProtection="1">
      <alignment/>
      <protection locked="0"/>
    </xf>
    <xf numFmtId="2" fontId="7" fillId="0" borderId="0" xfId="0" applyFont="1" applyBorder="1" applyAlignment="1">
      <alignment horizontal="center" textRotation="90"/>
    </xf>
    <xf numFmtId="9" fontId="7" fillId="0" borderId="12" xfId="0" applyNumberFormat="1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8" fontId="1" fillId="0" borderId="0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 applyProtection="1">
      <alignment/>
      <protection locked="0"/>
    </xf>
    <xf numFmtId="9" fontId="11" fillId="0" borderId="0" xfId="0" applyNumberFormat="1" applyFont="1" applyBorder="1" applyAlignment="1" applyProtection="1">
      <alignment horizontal="center"/>
      <protection/>
    </xf>
    <xf numFmtId="178" fontId="7" fillId="0" borderId="0" xfId="0" applyNumberFormat="1" applyFont="1" applyBorder="1" applyAlignment="1">
      <alignment horizontal="left"/>
    </xf>
    <xf numFmtId="178" fontId="7" fillId="0" borderId="0" xfId="0" applyNumberFormat="1" applyFont="1" applyBorder="1" applyAlignment="1">
      <alignment horizontal="center"/>
    </xf>
    <xf numFmtId="8" fontId="7" fillId="0" borderId="0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7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2" fontId="15" fillId="0" borderId="0" xfId="0" applyNumberFormat="1" applyFont="1" applyFill="1" applyBorder="1" applyAlignment="1" applyProtection="1">
      <alignment horizontal="right"/>
      <protection locked="0"/>
    </xf>
    <xf numFmtId="7" fontId="11" fillId="0" borderId="0" xfId="0" applyNumberFormat="1" applyFont="1" applyAlignment="1" applyProtection="1" quotePrefix="1">
      <alignment horizontal="left"/>
      <protection locked="0"/>
    </xf>
    <xf numFmtId="7" fontId="11" fillId="0" borderId="0" xfId="0" applyNumberFormat="1" applyFont="1" applyAlignment="1" applyProtection="1">
      <alignment/>
      <protection locked="0"/>
    </xf>
    <xf numFmtId="7" fontId="25" fillId="0" borderId="0" xfId="0" applyNumberFormat="1" applyFont="1" applyAlignment="1" applyProtection="1">
      <alignment horizontal="center"/>
      <protection/>
    </xf>
    <xf numFmtId="2" fontId="13" fillId="0" borderId="0" xfId="0" applyFont="1" applyAlignment="1">
      <alignment horizontal="right"/>
    </xf>
    <xf numFmtId="168" fontId="11" fillId="0" borderId="15" xfId="0" applyNumberFormat="1" applyFont="1" applyBorder="1" applyAlignment="1">
      <alignment/>
    </xf>
    <xf numFmtId="168" fontId="11" fillId="0" borderId="16" xfId="0" applyNumberFormat="1" applyFont="1" applyBorder="1" applyAlignment="1">
      <alignment/>
    </xf>
    <xf numFmtId="2" fontId="25" fillId="0" borderId="0" xfId="0" applyFont="1" applyAlignment="1">
      <alignment/>
    </xf>
    <xf numFmtId="2" fontId="0" fillId="2" borderId="0" xfId="0" applyNumberFormat="1" applyFont="1" applyFill="1" applyAlignment="1" applyProtection="1">
      <alignment/>
      <protection locked="0"/>
    </xf>
    <xf numFmtId="7" fontId="7" fillId="0" borderId="0" xfId="0" applyNumberFormat="1" applyFont="1" applyAlignment="1" applyProtection="1">
      <alignment horizontal="left"/>
      <protection/>
    </xf>
    <xf numFmtId="2" fontId="16" fillId="0" borderId="0" xfId="0" applyFont="1" applyFill="1" applyAlignment="1">
      <alignment horizontal="center"/>
    </xf>
    <xf numFmtId="2" fontId="7" fillId="0" borderId="17" xfId="0" applyFont="1" applyBorder="1" applyAlignment="1" applyProtection="1">
      <alignment horizontal="center"/>
      <protection/>
    </xf>
    <xf numFmtId="2" fontId="0" fillId="2" borderId="17" xfId="0" applyNumberFormat="1" applyFont="1" applyFill="1" applyBorder="1" applyAlignment="1" applyProtection="1">
      <alignment/>
      <protection locked="0"/>
    </xf>
    <xf numFmtId="2" fontId="22" fillId="0" borderId="0" xfId="0" applyFont="1" applyAlignment="1">
      <alignment/>
    </xf>
    <xf numFmtId="2" fontId="7" fillId="0" borderId="0" xfId="0" applyFont="1" applyBorder="1" applyAlignment="1">
      <alignment horizontal="center"/>
    </xf>
    <xf numFmtId="2" fontId="0" fillId="2" borderId="0" xfId="0" applyNumberFormat="1" applyFont="1" applyFill="1" applyAlignment="1" applyProtection="1">
      <alignment/>
      <protection locked="0"/>
    </xf>
    <xf numFmtId="9" fontId="23" fillId="0" borderId="18" xfId="0" applyNumberFormat="1" applyFont="1" applyBorder="1" applyAlignment="1" quotePrefix="1">
      <alignment horizontal="center"/>
    </xf>
    <xf numFmtId="9" fontId="23" fillId="0" borderId="18" xfId="0" applyNumberFormat="1" applyFont="1" applyBorder="1" applyAlignment="1">
      <alignment horizontal="center"/>
    </xf>
    <xf numFmtId="7" fontId="14" fillId="0" borderId="10" xfId="0" applyNumberFormat="1" applyFont="1" applyBorder="1" applyAlignment="1" applyProtection="1">
      <alignment horizontal="left"/>
      <protection/>
    </xf>
    <xf numFmtId="2" fontId="0" fillId="2" borderId="10" xfId="0" applyNumberFormat="1" applyFont="1" applyFill="1" applyBorder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219075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Z230"/>
  <sheetViews>
    <sheetView tabSelected="1" zoomScaleSheetLayoutView="75" zoomScalePageLayoutView="0" workbookViewId="0" topLeftCell="A1">
      <selection activeCell="A1" sqref="A1"/>
    </sheetView>
  </sheetViews>
  <sheetFormatPr defaultColWidth="9.6640625" defaultRowHeight="15"/>
  <cols>
    <col min="1" max="1" width="15.77734375" style="1" customWidth="1"/>
    <col min="2" max="2" width="8.6640625" style="1" customWidth="1"/>
    <col min="3" max="3" width="2.77734375" style="1" customWidth="1"/>
    <col min="4" max="4" width="8.77734375" style="1" customWidth="1"/>
    <col min="5" max="5" width="7.77734375" style="1" customWidth="1"/>
    <col min="6" max="6" width="10.77734375" style="13" customWidth="1"/>
    <col min="7" max="7" width="8.77734375" style="1" customWidth="1"/>
    <col min="8" max="8" width="9.77734375" style="1" customWidth="1"/>
    <col min="9" max="9" width="12.77734375" style="1" customWidth="1"/>
    <col min="10" max="10" width="9.77734375" style="1" customWidth="1"/>
    <col min="11" max="11" width="5.21484375" style="1" customWidth="1"/>
    <col min="12" max="14" width="9.6640625" style="1" customWidth="1"/>
    <col min="15" max="15" width="7.6640625" style="1" customWidth="1"/>
    <col min="16" max="16" width="9.6640625" style="1" customWidth="1"/>
    <col min="17" max="17" width="10.6640625" style="1" customWidth="1"/>
    <col min="18" max="16384" width="9.6640625" style="1" customWidth="1"/>
  </cols>
  <sheetData>
    <row r="1" ht="75.75" customHeight="1">
      <c r="K1" s="10"/>
    </row>
    <row r="2" spans="1:21" ht="19.5" customHeight="1">
      <c r="A2" s="20">
        <v>2008</v>
      </c>
      <c r="B2" s="21"/>
      <c r="C2" s="21"/>
      <c r="D2" s="21"/>
      <c r="E2" s="21"/>
      <c r="F2" s="22"/>
      <c r="G2" s="21"/>
      <c r="H2" s="23"/>
      <c r="I2" s="23"/>
      <c r="J2" s="23" t="s">
        <v>101</v>
      </c>
      <c r="K2" s="10"/>
      <c r="U2" s="2" t="s">
        <v>0</v>
      </c>
    </row>
    <row r="3" spans="1:21" ht="27" customHeight="1">
      <c r="A3" s="57"/>
      <c r="B3" s="24"/>
      <c r="C3" s="24"/>
      <c r="F3" s="59" t="s">
        <v>106</v>
      </c>
      <c r="G3" s="24"/>
      <c r="H3" s="25"/>
      <c r="I3" s="25"/>
      <c r="J3" s="25"/>
      <c r="K3" s="10"/>
      <c r="U3" s="2"/>
    </row>
    <row r="4" spans="1:21" ht="27" customHeight="1">
      <c r="A4" s="27"/>
      <c r="B4" s="27"/>
      <c r="C4" s="27"/>
      <c r="D4" s="27"/>
      <c r="E4" s="117">
        <v>100</v>
      </c>
      <c r="F4" s="118" t="s">
        <v>7</v>
      </c>
      <c r="G4" s="27"/>
      <c r="H4" s="27"/>
      <c r="I4" s="27"/>
      <c r="J4" s="27"/>
      <c r="K4" s="10"/>
      <c r="M4" s="2"/>
      <c r="U4" s="2"/>
    </row>
    <row r="5" spans="1:21" ht="21" customHeight="1">
      <c r="A5" s="117">
        <v>16000</v>
      </c>
      <c r="B5" s="118" t="s">
        <v>13</v>
      </c>
      <c r="C5" s="113"/>
      <c r="D5" s="113"/>
      <c r="E5" s="119"/>
      <c r="F5" s="120"/>
      <c r="G5" s="117">
        <v>94</v>
      </c>
      <c r="H5" s="123" t="s">
        <v>86</v>
      </c>
      <c r="I5" s="113"/>
      <c r="J5" s="27"/>
      <c r="K5" s="10"/>
      <c r="M5" s="2"/>
      <c r="U5" s="2"/>
    </row>
    <row r="6" spans="1:21" ht="21" customHeight="1">
      <c r="A6" s="117">
        <v>27</v>
      </c>
      <c r="B6" s="118" t="s">
        <v>14</v>
      </c>
      <c r="C6" s="113"/>
      <c r="D6" s="113"/>
      <c r="E6" s="113"/>
      <c r="F6" s="113"/>
      <c r="G6" s="121">
        <v>3</v>
      </c>
      <c r="H6" s="118" t="s">
        <v>8</v>
      </c>
      <c r="I6" s="122"/>
      <c r="J6" s="27"/>
      <c r="K6" s="10"/>
      <c r="M6" s="2"/>
      <c r="U6" s="2"/>
    </row>
    <row r="7" spans="1:11" ht="12" customHeight="1">
      <c r="A7" s="39"/>
      <c r="B7" s="49"/>
      <c r="C7" s="27"/>
      <c r="D7" s="27"/>
      <c r="E7" s="27"/>
      <c r="F7" s="27"/>
      <c r="G7" s="40"/>
      <c r="H7" s="49"/>
      <c r="I7" s="34"/>
      <c r="J7" s="27"/>
      <c r="K7" s="10"/>
    </row>
    <row r="8" spans="1:21" ht="15">
      <c r="A8" s="28" t="s">
        <v>5</v>
      </c>
      <c r="B8" s="124" t="s">
        <v>87</v>
      </c>
      <c r="C8" s="30"/>
      <c r="D8" s="29"/>
      <c r="E8" s="32" t="s">
        <v>2</v>
      </c>
      <c r="F8" s="31" t="s">
        <v>4</v>
      </c>
      <c r="G8" s="29"/>
      <c r="H8" s="31" t="s">
        <v>3</v>
      </c>
      <c r="I8" s="32" t="s">
        <v>1</v>
      </c>
      <c r="J8" s="32" t="s">
        <v>88</v>
      </c>
      <c r="K8" s="10"/>
      <c r="M8" s="2" t="s">
        <v>0</v>
      </c>
      <c r="U8" s="2" t="s">
        <v>0</v>
      </c>
    </row>
    <row r="9" spans="1:21" ht="21" customHeight="1">
      <c r="A9" s="114" t="s">
        <v>80</v>
      </c>
      <c r="B9" s="109"/>
      <c r="C9" s="110"/>
      <c r="D9" s="109"/>
      <c r="E9" s="111"/>
      <c r="F9" s="112"/>
      <c r="G9" s="109"/>
      <c r="H9" s="112"/>
      <c r="I9" s="111"/>
      <c r="J9" s="111"/>
      <c r="K9" s="10"/>
      <c r="M9" s="2"/>
      <c r="U9" s="2"/>
    </row>
    <row r="10" spans="1:11" ht="15">
      <c r="A10" s="49" t="s">
        <v>39</v>
      </c>
      <c r="B10" s="34"/>
      <c r="C10" s="34"/>
      <c r="D10" s="36"/>
      <c r="E10" s="51" t="s">
        <v>52</v>
      </c>
      <c r="F10" s="156">
        <v>20.37</v>
      </c>
      <c r="G10" s="27"/>
      <c r="H10" s="116">
        <f>E4*A5/100</f>
        <v>16000</v>
      </c>
      <c r="I10" s="38">
        <f>ROUND((F10*H10),2)</f>
        <v>325920</v>
      </c>
      <c r="J10" s="64" t="s">
        <v>35</v>
      </c>
      <c r="K10" s="10"/>
    </row>
    <row r="11" spans="1:11" ht="15">
      <c r="A11" s="49" t="s">
        <v>89</v>
      </c>
      <c r="B11" s="129">
        <f>ROUND((((A6-G6)/100*E4)+0.49),0)</f>
        <v>24</v>
      </c>
      <c r="C11" s="35" t="s">
        <v>6</v>
      </c>
      <c r="D11" s="36">
        <v>13</v>
      </c>
      <c r="E11" s="51" t="s">
        <v>52</v>
      </c>
      <c r="F11" s="50">
        <v>50</v>
      </c>
      <c r="G11" s="27"/>
      <c r="H11" s="37">
        <f>B11*D11</f>
        <v>312</v>
      </c>
      <c r="I11" s="38">
        <f>ROUND((F11*H11),2)</f>
        <v>15600</v>
      </c>
      <c r="J11" s="64" t="s">
        <v>35</v>
      </c>
      <c r="K11" s="10"/>
    </row>
    <row r="12" spans="1:11" ht="15">
      <c r="A12" s="49" t="s">
        <v>40</v>
      </c>
      <c r="B12" s="130"/>
      <c r="C12" s="34"/>
      <c r="D12" s="36"/>
      <c r="E12" s="51" t="s">
        <v>53</v>
      </c>
      <c r="F12" s="50">
        <v>78.37</v>
      </c>
      <c r="G12" s="27"/>
      <c r="H12" s="128">
        <f>IF(B12=N(ISNUMBER(B12)),ROUND(((E4*G5/200)+0.49),0),B12)</f>
        <v>47</v>
      </c>
      <c r="I12" s="38">
        <f>ROUND((F12*H12),2)</f>
        <v>3683.39</v>
      </c>
      <c r="J12" s="64" t="s">
        <v>35</v>
      </c>
      <c r="K12" s="10"/>
    </row>
    <row r="13" spans="1:11" ht="15">
      <c r="A13" s="49" t="s">
        <v>83</v>
      </c>
      <c r="B13" s="130"/>
      <c r="C13" s="34"/>
      <c r="D13" s="36"/>
      <c r="E13" s="51" t="s">
        <v>53</v>
      </c>
      <c r="F13" s="50">
        <v>1100</v>
      </c>
      <c r="G13" s="27"/>
      <c r="H13" s="129">
        <f>IF(B13=N(ISNUMBER(B13)),G78-ROUND(((A6/100*E4)+0.49),0),B13)</f>
        <v>15</v>
      </c>
      <c r="I13" s="38">
        <f>ROUND((F13*H13),2)</f>
        <v>16500</v>
      </c>
      <c r="J13" s="64" t="s">
        <v>35</v>
      </c>
      <c r="K13" s="10"/>
    </row>
    <row r="14" spans="1:21" ht="15">
      <c r="A14" s="49" t="s">
        <v>90</v>
      </c>
      <c r="B14" s="34"/>
      <c r="C14" s="34"/>
      <c r="D14" s="36"/>
      <c r="E14" s="51" t="s">
        <v>53</v>
      </c>
      <c r="F14" s="50">
        <v>54.72</v>
      </c>
      <c r="G14" s="27"/>
      <c r="H14" s="131">
        <f>E4</f>
        <v>100</v>
      </c>
      <c r="I14" s="38">
        <f>ROUND((F14*H14),2)</f>
        <v>5472</v>
      </c>
      <c r="J14" s="64" t="s">
        <v>35</v>
      </c>
      <c r="K14" s="10"/>
      <c r="M14" s="2" t="s">
        <v>0</v>
      </c>
      <c r="U14" s="2" t="s">
        <v>0</v>
      </c>
    </row>
    <row r="15" spans="1:26" ht="15">
      <c r="A15" s="49" t="s">
        <v>41</v>
      </c>
      <c r="B15" s="34"/>
      <c r="C15" s="34"/>
      <c r="D15" s="36"/>
      <c r="E15" s="27"/>
      <c r="F15" s="50"/>
      <c r="G15" s="27"/>
      <c r="H15" s="37"/>
      <c r="I15" s="50">
        <v>0</v>
      </c>
      <c r="J15" s="64" t="s">
        <v>35</v>
      </c>
      <c r="K15" s="10"/>
      <c r="L15" s="5" t="s">
        <v>0</v>
      </c>
      <c r="N15" s="5" t="s">
        <v>0</v>
      </c>
      <c r="U15" s="2" t="s">
        <v>0</v>
      </c>
      <c r="Z15" s="4" t="s">
        <v>0</v>
      </c>
    </row>
    <row r="16" spans="1:26" ht="15">
      <c r="A16" s="52" t="s">
        <v>15</v>
      </c>
      <c r="B16" s="34"/>
      <c r="C16" s="34"/>
      <c r="D16" s="36"/>
      <c r="E16" s="27"/>
      <c r="F16" s="50"/>
      <c r="G16" s="27"/>
      <c r="H16" s="37"/>
      <c r="I16" s="50">
        <v>0</v>
      </c>
      <c r="J16" s="64" t="s">
        <v>35</v>
      </c>
      <c r="K16" s="10"/>
      <c r="L16" s="5" t="s">
        <v>0</v>
      </c>
      <c r="M16" s="2" t="s">
        <v>0</v>
      </c>
      <c r="N16" s="5" t="s">
        <v>0</v>
      </c>
      <c r="U16" s="2" t="s">
        <v>0</v>
      </c>
      <c r="Z16" s="4" t="s">
        <v>0</v>
      </c>
    </row>
    <row r="17" spans="1:26" ht="21" customHeight="1">
      <c r="A17" s="113" t="s">
        <v>81</v>
      </c>
      <c r="B17" s="27"/>
      <c r="C17" s="27"/>
      <c r="D17" s="27"/>
      <c r="E17" s="27"/>
      <c r="F17" s="49"/>
      <c r="G17" s="152">
        <f>ROUND((I17/$E$4),2)</f>
        <v>3671.75</v>
      </c>
      <c r="H17" s="27" t="s">
        <v>100</v>
      </c>
      <c r="I17" s="132">
        <f>SUM(I8:I15)</f>
        <v>367175.39</v>
      </c>
      <c r="J17" s="64" t="s">
        <v>35</v>
      </c>
      <c r="K17" s="10"/>
      <c r="L17" s="5" t="s">
        <v>0</v>
      </c>
      <c r="M17" s="2" t="s">
        <v>0</v>
      </c>
      <c r="N17" s="5" t="s">
        <v>0</v>
      </c>
      <c r="U17" s="2" t="s">
        <v>0</v>
      </c>
      <c r="Z17" s="4" t="s">
        <v>0</v>
      </c>
    </row>
    <row r="18" spans="1:26" ht="21" customHeight="1">
      <c r="A18" s="92" t="s">
        <v>79</v>
      </c>
      <c r="B18" s="27"/>
      <c r="C18" s="27"/>
      <c r="D18" s="27"/>
      <c r="E18" s="27"/>
      <c r="F18" s="27"/>
      <c r="G18" s="27"/>
      <c r="H18" s="27"/>
      <c r="I18" s="27"/>
      <c r="J18" s="33"/>
      <c r="K18" s="10"/>
      <c r="M18" s="2"/>
      <c r="U18" s="2" t="s">
        <v>0</v>
      </c>
      <c r="Z18" s="4" t="s">
        <v>0</v>
      </c>
    </row>
    <row r="19" spans="1:21" ht="15">
      <c r="A19" s="27"/>
      <c r="B19" s="64" t="s">
        <v>82</v>
      </c>
      <c r="C19" s="27"/>
      <c r="E19" s="27"/>
      <c r="F19" s="27"/>
      <c r="G19" s="27"/>
      <c r="H19" s="27"/>
      <c r="I19" s="27"/>
      <c r="J19" s="33"/>
      <c r="K19" s="10"/>
      <c r="U19" s="2" t="s">
        <v>0</v>
      </c>
    </row>
    <row r="20" spans="1:21" ht="15">
      <c r="A20" s="38" t="str">
        <f>A81</f>
        <v> Corn Silage, KP</v>
      </c>
      <c r="B20" s="93">
        <v>0.08</v>
      </c>
      <c r="C20" s="27"/>
      <c r="E20" s="104" t="str">
        <f>IF(C81&gt;99,"Cwt",IF(C81&gt;0,"Bushel","Ton"))</f>
        <v>Ton</v>
      </c>
      <c r="F20" s="156">
        <v>48</v>
      </c>
      <c r="G20" s="27"/>
      <c r="H20" s="105">
        <f aca="true" t="shared" si="0" ref="H20:H28">ROUND(IF(C81&lt;=0,(J81*(1+B20)),(J81*2000)/C81*(1+B20)),2)</f>
        <v>1059.02</v>
      </c>
      <c r="I20" s="38">
        <f aca="true" t="shared" si="1" ref="I20:I52">ROUND((F20*H20),2)</f>
        <v>50832.96</v>
      </c>
      <c r="J20" s="64" t="s">
        <v>35</v>
      </c>
      <c r="K20" s="10"/>
      <c r="U20" s="2"/>
    </row>
    <row r="21" spans="1:21" ht="15">
      <c r="A21" s="38" t="str">
        <f>A82</f>
        <v> Alfalfa Haylage</v>
      </c>
      <c r="B21" s="93">
        <v>0.06</v>
      </c>
      <c r="C21" s="27"/>
      <c r="E21" s="104" t="str">
        <f aca="true" t="shared" si="2" ref="E21:E28">IF(C82&gt;99,"Cwt",IF(C82&gt;0,"Bushel","Ton"))</f>
        <v>Ton</v>
      </c>
      <c r="F21" s="156">
        <v>90</v>
      </c>
      <c r="G21" s="27"/>
      <c r="H21" s="105">
        <f t="shared" si="0"/>
        <v>159</v>
      </c>
      <c r="I21" s="38">
        <f t="shared" si="1"/>
        <v>14310</v>
      </c>
      <c r="J21" s="64" t="s">
        <v>35</v>
      </c>
      <c r="K21" s="10"/>
      <c r="U21" s="2" t="s">
        <v>0</v>
      </c>
    </row>
    <row r="22" spans="1:21" ht="15">
      <c r="A22" s="38" t="str">
        <f aca="true" t="shared" si="3" ref="A22:A28">A83</f>
        <v> Alfalfa Hay</v>
      </c>
      <c r="B22" s="93">
        <v>0.05</v>
      </c>
      <c r="C22" s="27"/>
      <c r="E22" s="104" t="str">
        <f t="shared" si="2"/>
        <v>Ton</v>
      </c>
      <c r="F22" s="156">
        <v>180</v>
      </c>
      <c r="G22" s="27"/>
      <c r="H22" s="105">
        <f t="shared" si="0"/>
        <v>80.06</v>
      </c>
      <c r="I22" s="38">
        <f t="shared" si="1"/>
        <v>14410.8</v>
      </c>
      <c r="J22" s="64" t="s">
        <v>35</v>
      </c>
      <c r="K22" s="10"/>
      <c r="M22" s="2" t="s">
        <v>0</v>
      </c>
      <c r="U22" s="2" t="s">
        <v>0</v>
      </c>
    </row>
    <row r="23" spans="1:26" ht="15">
      <c r="A23" s="38" t="str">
        <f t="shared" si="3"/>
        <v> Orchardgrass Hay</v>
      </c>
      <c r="B23" s="93">
        <v>0.05</v>
      </c>
      <c r="C23" s="27"/>
      <c r="E23" s="104" t="str">
        <f t="shared" si="2"/>
        <v>Ton</v>
      </c>
      <c r="F23" s="156">
        <v>140</v>
      </c>
      <c r="G23" s="27"/>
      <c r="H23" s="105">
        <f t="shared" si="0"/>
        <v>191.23</v>
      </c>
      <c r="I23" s="38">
        <f t="shared" si="1"/>
        <v>26772.2</v>
      </c>
      <c r="J23" s="64" t="s">
        <v>35</v>
      </c>
      <c r="K23" s="10"/>
      <c r="M23" s="2" t="s">
        <v>0</v>
      </c>
      <c r="U23" s="2" t="s">
        <v>0</v>
      </c>
      <c r="Z23" s="4" t="s">
        <v>0</v>
      </c>
    </row>
    <row r="24" spans="1:26" ht="15">
      <c r="A24" s="38" t="str">
        <f t="shared" si="3"/>
        <v> SBOM 48%</v>
      </c>
      <c r="B24" s="93">
        <v>0.02</v>
      </c>
      <c r="C24" s="27"/>
      <c r="E24" s="104" t="str">
        <f t="shared" si="2"/>
        <v>Ton</v>
      </c>
      <c r="F24" s="156">
        <v>395</v>
      </c>
      <c r="G24" s="27"/>
      <c r="H24" s="105">
        <f t="shared" si="0"/>
        <v>85.02</v>
      </c>
      <c r="I24" s="38">
        <f t="shared" si="1"/>
        <v>33582.9</v>
      </c>
      <c r="J24" s="64" t="s">
        <v>35</v>
      </c>
      <c r="K24" s="10"/>
      <c r="L24" s="5" t="s">
        <v>0</v>
      </c>
      <c r="M24" s="2" t="s">
        <v>0</v>
      </c>
      <c r="N24" s="5" t="s">
        <v>0</v>
      </c>
      <c r="U24" s="2" t="s">
        <v>0</v>
      </c>
      <c r="Z24" s="4" t="s">
        <v>0</v>
      </c>
    </row>
    <row r="25" spans="1:26" ht="15">
      <c r="A25" s="38" t="str">
        <f t="shared" si="3"/>
        <v> Corn Grain</v>
      </c>
      <c r="B25" s="93">
        <v>0.02</v>
      </c>
      <c r="C25" s="27"/>
      <c r="E25" s="104" t="str">
        <f t="shared" si="2"/>
        <v>Bushel</v>
      </c>
      <c r="F25" s="156">
        <v>5.5</v>
      </c>
      <c r="G25" s="27"/>
      <c r="H25" s="105">
        <f t="shared" si="0"/>
        <v>5277.77</v>
      </c>
      <c r="I25" s="38">
        <f t="shared" si="1"/>
        <v>29027.74</v>
      </c>
      <c r="J25" s="64" t="s">
        <v>35</v>
      </c>
      <c r="K25" s="10"/>
      <c r="L25" s="5" t="s">
        <v>0</v>
      </c>
      <c r="M25" s="2" t="s">
        <v>0</v>
      </c>
      <c r="N25" s="5" t="s">
        <v>0</v>
      </c>
      <c r="U25" s="2" t="s">
        <v>0</v>
      </c>
      <c r="Z25" s="4" t="s">
        <v>0</v>
      </c>
    </row>
    <row r="26" spans="1:26" ht="15">
      <c r="A26" s="96" t="str">
        <f t="shared" si="3"/>
        <v> Corn Distillers w/ SOL.</v>
      </c>
      <c r="B26" s="93">
        <v>0.02</v>
      </c>
      <c r="C26" s="27"/>
      <c r="E26" s="104" t="str">
        <f t="shared" si="2"/>
        <v>Ton</v>
      </c>
      <c r="F26" s="156">
        <v>222.5</v>
      </c>
      <c r="G26" s="27"/>
      <c r="H26" s="105">
        <f t="shared" si="0"/>
        <v>22.95</v>
      </c>
      <c r="I26" s="38">
        <f t="shared" si="1"/>
        <v>5106.38</v>
      </c>
      <c r="J26" s="64" t="s">
        <v>35</v>
      </c>
      <c r="K26" s="10"/>
      <c r="L26" s="5"/>
      <c r="M26" s="2"/>
      <c r="N26" s="5"/>
      <c r="U26" s="2"/>
      <c r="Z26" s="4"/>
    </row>
    <row r="27" spans="1:21" ht="15">
      <c r="A27" s="38" t="str">
        <f t="shared" si="3"/>
        <v> Roasted Soybeans</v>
      </c>
      <c r="B27" s="93">
        <v>0.02</v>
      </c>
      <c r="C27" s="27"/>
      <c r="E27" s="104" t="str">
        <f t="shared" si="2"/>
        <v>Ton</v>
      </c>
      <c r="F27" s="156">
        <v>400</v>
      </c>
      <c r="G27" s="27"/>
      <c r="H27" s="105">
        <f t="shared" si="0"/>
        <v>0</v>
      </c>
      <c r="I27" s="38">
        <f t="shared" si="1"/>
        <v>0</v>
      </c>
      <c r="J27" s="64" t="s">
        <v>35</v>
      </c>
      <c r="K27" s="10"/>
      <c r="L27" s="5" t="s">
        <v>0</v>
      </c>
      <c r="M27" s="2" t="s">
        <v>0</v>
      </c>
      <c r="N27" s="5" t="s">
        <v>0</v>
      </c>
      <c r="U27" s="2" t="s">
        <v>0</v>
      </c>
    </row>
    <row r="28" spans="1:21" ht="15">
      <c r="A28" s="38" t="str">
        <f t="shared" si="3"/>
        <v> Other Feed</v>
      </c>
      <c r="B28" s="93">
        <v>0.02</v>
      </c>
      <c r="C28" s="27"/>
      <c r="E28" s="104" t="str">
        <f t="shared" si="2"/>
        <v>Ton</v>
      </c>
      <c r="F28" s="50">
        <v>0</v>
      </c>
      <c r="G28" s="27"/>
      <c r="H28" s="105">
        <f t="shared" si="0"/>
        <v>0</v>
      </c>
      <c r="I28" s="38">
        <f t="shared" si="1"/>
        <v>0</v>
      </c>
      <c r="J28" s="64" t="s">
        <v>35</v>
      </c>
      <c r="K28" s="10"/>
      <c r="L28" s="5" t="s">
        <v>0</v>
      </c>
      <c r="M28" s="2" t="s">
        <v>0</v>
      </c>
      <c r="N28" s="5" t="s">
        <v>0</v>
      </c>
      <c r="U28" s="2" t="s">
        <v>0</v>
      </c>
    </row>
    <row r="29" spans="1:21" ht="15">
      <c r="A29" s="38" t="s">
        <v>114</v>
      </c>
      <c r="B29" s="93"/>
      <c r="C29" s="27"/>
      <c r="E29" s="104"/>
      <c r="F29" s="50"/>
      <c r="G29" s="27"/>
      <c r="H29" s="105"/>
      <c r="I29" s="38"/>
      <c r="J29" s="64"/>
      <c r="K29" s="10"/>
      <c r="L29" s="5"/>
      <c r="M29" s="2"/>
      <c r="N29" s="5"/>
      <c r="U29" s="2"/>
    </row>
    <row r="30" spans="1:21" ht="15">
      <c r="A30" s="49" t="s">
        <v>112</v>
      </c>
      <c r="B30" s="159">
        <v>0.5</v>
      </c>
      <c r="C30" s="161" t="s">
        <v>111</v>
      </c>
      <c r="D30" s="162"/>
      <c r="E30" s="51" t="s">
        <v>54</v>
      </c>
      <c r="F30" s="50">
        <v>70</v>
      </c>
      <c r="G30" s="27"/>
      <c r="H30" s="37">
        <f>B30*$E$4</f>
        <v>50</v>
      </c>
      <c r="I30" s="38">
        <f>ROUND((F30*H30),2)</f>
        <v>3500</v>
      </c>
      <c r="J30" s="64" t="s">
        <v>35</v>
      </c>
      <c r="K30" s="10"/>
      <c r="L30" s="5"/>
      <c r="M30" s="2"/>
      <c r="N30" s="5"/>
      <c r="U30" s="2"/>
    </row>
    <row r="31" spans="1:21" ht="15">
      <c r="A31" s="49" t="s">
        <v>113</v>
      </c>
      <c r="B31" s="160">
        <v>0.75</v>
      </c>
      <c r="C31" s="161" t="s">
        <v>111</v>
      </c>
      <c r="D31" s="162"/>
      <c r="E31" s="51" t="s">
        <v>54</v>
      </c>
      <c r="F31" s="50">
        <v>35</v>
      </c>
      <c r="G31" s="27"/>
      <c r="H31" s="37">
        <f>B31*$E$4</f>
        <v>75</v>
      </c>
      <c r="I31" s="38">
        <f>ROUND((F31*H31),2)</f>
        <v>2625</v>
      </c>
      <c r="J31" s="64" t="s">
        <v>35</v>
      </c>
      <c r="K31" s="10"/>
      <c r="L31" s="5"/>
      <c r="M31" s="2"/>
      <c r="N31" s="5"/>
      <c r="U31" s="2"/>
    </row>
    <row r="32" spans="1:21" ht="15">
      <c r="A32" s="49" t="s">
        <v>115</v>
      </c>
      <c r="B32" s="159">
        <v>1.25</v>
      </c>
      <c r="C32" s="161" t="s">
        <v>111</v>
      </c>
      <c r="D32" s="162"/>
      <c r="E32" s="51" t="s">
        <v>54</v>
      </c>
      <c r="F32" s="50">
        <v>21</v>
      </c>
      <c r="G32" s="27"/>
      <c r="H32" s="37">
        <f>B32*$E$4</f>
        <v>125</v>
      </c>
      <c r="I32" s="38">
        <f t="shared" si="1"/>
        <v>2625</v>
      </c>
      <c r="J32" s="64" t="s">
        <v>35</v>
      </c>
      <c r="K32" s="10"/>
      <c r="L32" s="5"/>
      <c r="M32" s="2"/>
      <c r="N32" s="5"/>
      <c r="U32" s="2"/>
    </row>
    <row r="33" spans="1:21" ht="15">
      <c r="A33" s="49" t="s">
        <v>55</v>
      </c>
      <c r="B33" s="27"/>
      <c r="C33" s="27"/>
      <c r="D33" s="27"/>
      <c r="E33" s="51" t="s">
        <v>53</v>
      </c>
      <c r="F33" s="50">
        <v>47.5</v>
      </c>
      <c r="G33" s="27"/>
      <c r="H33" s="37">
        <f>$E$4</f>
        <v>100</v>
      </c>
      <c r="I33" s="38">
        <f t="shared" si="1"/>
        <v>4750</v>
      </c>
      <c r="J33" s="64" t="s">
        <v>35</v>
      </c>
      <c r="K33" s="10"/>
      <c r="L33" s="5"/>
      <c r="M33" s="2"/>
      <c r="N33" s="5"/>
      <c r="U33" s="2"/>
    </row>
    <row r="34" spans="1:21" ht="15">
      <c r="A34" s="49" t="s">
        <v>56</v>
      </c>
      <c r="B34" s="27"/>
      <c r="C34" s="27"/>
      <c r="D34" s="27"/>
      <c r="E34" s="51" t="s">
        <v>52</v>
      </c>
      <c r="F34" s="50">
        <v>98</v>
      </c>
      <c r="G34" s="27"/>
      <c r="H34" s="37">
        <f>E4*0.27</f>
        <v>27</v>
      </c>
      <c r="I34" s="38">
        <f t="shared" si="1"/>
        <v>2646</v>
      </c>
      <c r="J34" s="64" t="s">
        <v>35</v>
      </c>
      <c r="K34" s="10"/>
      <c r="L34" s="5"/>
      <c r="M34" s="2"/>
      <c r="N34" s="5"/>
      <c r="U34" s="2"/>
    </row>
    <row r="35" spans="1:21" ht="15">
      <c r="A35" s="49" t="s">
        <v>57</v>
      </c>
      <c r="B35" s="27"/>
      <c r="C35" s="27"/>
      <c r="D35" s="27"/>
      <c r="E35" s="51" t="s">
        <v>52</v>
      </c>
      <c r="F35" s="50">
        <v>24</v>
      </c>
      <c r="G35" s="27"/>
      <c r="H35" s="37">
        <f>E4*2.35</f>
        <v>235</v>
      </c>
      <c r="I35" s="38">
        <f t="shared" si="1"/>
        <v>5640</v>
      </c>
      <c r="J35" s="64" t="s">
        <v>35</v>
      </c>
      <c r="K35" s="10"/>
      <c r="L35" s="5"/>
      <c r="M35" s="2"/>
      <c r="N35" s="5"/>
      <c r="U35" s="2"/>
    </row>
    <row r="36" spans="1:21" ht="15">
      <c r="A36" s="49" t="s">
        <v>108</v>
      </c>
      <c r="B36" s="27"/>
      <c r="C36" s="27"/>
      <c r="D36" s="27"/>
      <c r="E36" s="51" t="s">
        <v>53</v>
      </c>
      <c r="F36" s="50">
        <v>42</v>
      </c>
      <c r="G36" s="27"/>
      <c r="H36" s="37">
        <f>$E$4</f>
        <v>100</v>
      </c>
      <c r="I36" s="38">
        <f t="shared" si="1"/>
        <v>4200</v>
      </c>
      <c r="J36" s="64" t="s">
        <v>35</v>
      </c>
      <c r="K36" s="10"/>
      <c r="L36" s="5"/>
      <c r="M36" s="2"/>
      <c r="N36" s="5"/>
      <c r="U36" s="2"/>
    </row>
    <row r="37" spans="1:21" ht="15">
      <c r="A37" s="49" t="s">
        <v>58</v>
      </c>
      <c r="B37" s="27"/>
      <c r="C37" s="27"/>
      <c r="D37" s="27"/>
      <c r="E37" s="51" t="s">
        <v>53</v>
      </c>
      <c r="F37" s="50">
        <v>62.43</v>
      </c>
      <c r="G37" s="27"/>
      <c r="H37" s="37">
        <f>$E$4</f>
        <v>100</v>
      </c>
      <c r="I37" s="38">
        <f t="shared" si="1"/>
        <v>6243</v>
      </c>
      <c r="J37" s="64" t="s">
        <v>35</v>
      </c>
      <c r="K37" s="10"/>
      <c r="L37" s="5"/>
      <c r="M37" s="2"/>
      <c r="N37" s="5"/>
      <c r="U37" s="2"/>
    </row>
    <row r="38" spans="1:21" ht="15">
      <c r="A38" s="49" t="s">
        <v>77</v>
      </c>
      <c r="B38" s="27"/>
      <c r="C38" s="27"/>
      <c r="D38" s="27"/>
      <c r="E38" s="51" t="s">
        <v>53</v>
      </c>
      <c r="F38" s="50">
        <v>1.14</v>
      </c>
      <c r="G38" s="27"/>
      <c r="H38" s="37">
        <f>$E$4</f>
        <v>100</v>
      </c>
      <c r="I38" s="38">
        <f t="shared" si="1"/>
        <v>114</v>
      </c>
      <c r="J38" s="64" t="s">
        <v>35</v>
      </c>
      <c r="K38" s="10"/>
      <c r="L38" s="5"/>
      <c r="M38" s="2"/>
      <c r="N38" s="5"/>
      <c r="U38" s="2"/>
    </row>
    <row r="39" spans="1:21" ht="15">
      <c r="A39" s="49" t="s">
        <v>59</v>
      </c>
      <c r="B39" s="27"/>
      <c r="C39" s="27"/>
      <c r="D39" s="27"/>
      <c r="E39" s="51" t="s">
        <v>53</v>
      </c>
      <c r="F39" s="50">
        <v>143.91</v>
      </c>
      <c r="G39" s="27"/>
      <c r="H39" s="37">
        <f>$E$4</f>
        <v>100</v>
      </c>
      <c r="I39" s="38">
        <f t="shared" si="1"/>
        <v>14391</v>
      </c>
      <c r="J39" s="64" t="s">
        <v>35</v>
      </c>
      <c r="K39" s="10"/>
      <c r="L39" s="5"/>
      <c r="M39" s="2"/>
      <c r="N39" s="5"/>
      <c r="U39" s="2"/>
    </row>
    <row r="40" spans="1:21" ht="15">
      <c r="A40" s="49" t="s">
        <v>16</v>
      </c>
      <c r="B40" s="27"/>
      <c r="C40" s="27"/>
      <c r="D40" s="27"/>
      <c r="E40" s="51" t="s">
        <v>53</v>
      </c>
      <c r="F40" s="50">
        <v>29</v>
      </c>
      <c r="G40" s="27"/>
      <c r="H40" s="37">
        <f>$E$4</f>
        <v>100</v>
      </c>
      <c r="I40" s="38">
        <f t="shared" si="1"/>
        <v>2900</v>
      </c>
      <c r="J40" s="64" t="s">
        <v>35</v>
      </c>
      <c r="K40" s="10"/>
      <c r="L40" s="5"/>
      <c r="M40" s="2"/>
      <c r="N40" s="5"/>
      <c r="U40" s="2"/>
    </row>
    <row r="41" spans="1:21" ht="15">
      <c r="A41" s="49" t="s">
        <v>60</v>
      </c>
      <c r="B41" s="27"/>
      <c r="C41" s="27"/>
      <c r="D41" s="27"/>
      <c r="E41" s="51" t="s">
        <v>52</v>
      </c>
      <c r="F41" s="50">
        <v>0.8</v>
      </c>
      <c r="G41" s="27"/>
      <c r="H41" s="34">
        <f>H10</f>
        <v>16000</v>
      </c>
      <c r="I41" s="38">
        <f t="shared" si="1"/>
        <v>12800</v>
      </c>
      <c r="J41" s="64" t="s">
        <v>35</v>
      </c>
      <c r="K41" s="10"/>
      <c r="L41" s="5"/>
      <c r="M41" s="2"/>
      <c r="N41" s="5"/>
      <c r="U41" s="2"/>
    </row>
    <row r="42" spans="1:21" ht="15">
      <c r="A42" s="163" t="s">
        <v>61</v>
      </c>
      <c r="B42" s="162"/>
      <c r="C42" s="27"/>
      <c r="D42" s="27"/>
      <c r="E42" s="51" t="s">
        <v>52</v>
      </c>
      <c r="F42" s="50">
        <v>0.2625</v>
      </c>
      <c r="G42" s="27"/>
      <c r="H42" s="34">
        <f>H10</f>
        <v>16000</v>
      </c>
      <c r="I42" s="38">
        <f t="shared" si="1"/>
        <v>4200</v>
      </c>
      <c r="J42" s="64" t="s">
        <v>35</v>
      </c>
      <c r="K42" s="10"/>
      <c r="L42" s="5"/>
      <c r="M42" s="2"/>
      <c r="N42" s="5"/>
      <c r="U42" s="2"/>
    </row>
    <row r="43" spans="1:21" s="18" customFormat="1" ht="15">
      <c r="A43" s="106" t="s">
        <v>74</v>
      </c>
      <c r="B43" s="130"/>
      <c r="C43" s="27" t="s">
        <v>75</v>
      </c>
      <c r="D43" s="27"/>
      <c r="E43" s="64" t="s">
        <v>53</v>
      </c>
      <c r="F43" s="107">
        <f>(I11*0.02+(B11*5))/H43</f>
        <v>18</v>
      </c>
      <c r="G43" s="27"/>
      <c r="H43" s="108">
        <f>B11</f>
        <v>24</v>
      </c>
      <c r="I43" s="38">
        <f>IF(B43=N(ISNUMBER(B43)),ROUND((F43*H43),2),ROUND((B43*H43),2))</f>
        <v>432</v>
      </c>
      <c r="J43" s="64" t="s">
        <v>35</v>
      </c>
      <c r="K43" s="16"/>
      <c r="L43" s="76"/>
      <c r="M43" s="17"/>
      <c r="N43" s="76"/>
      <c r="U43" s="17"/>
    </row>
    <row r="44" spans="1:26" ht="15">
      <c r="A44" s="163" t="s">
        <v>62</v>
      </c>
      <c r="B44" s="162"/>
      <c r="C44" s="27"/>
      <c r="D44" s="27"/>
      <c r="E44" s="51" t="s">
        <v>53</v>
      </c>
      <c r="F44" s="50">
        <v>261.7</v>
      </c>
      <c r="G44" s="27"/>
      <c r="H44" s="37">
        <f>$E$4</f>
        <v>100</v>
      </c>
      <c r="I44" s="38">
        <f t="shared" si="1"/>
        <v>26170</v>
      </c>
      <c r="J44" s="64" t="s">
        <v>35</v>
      </c>
      <c r="K44" s="10"/>
      <c r="M44" s="2" t="s">
        <v>0</v>
      </c>
      <c r="U44" s="2" t="s">
        <v>0</v>
      </c>
      <c r="Z44" s="8" t="s">
        <v>0</v>
      </c>
    </row>
    <row r="45" spans="1:21" ht="15" customHeight="1">
      <c r="A45" s="163" t="s">
        <v>63</v>
      </c>
      <c r="B45" s="162"/>
      <c r="C45" s="27"/>
      <c r="D45" s="27"/>
      <c r="E45" s="51" t="s">
        <v>53</v>
      </c>
      <c r="F45" s="50">
        <v>60</v>
      </c>
      <c r="G45" s="27"/>
      <c r="H45" s="37">
        <f>$E$4</f>
        <v>100</v>
      </c>
      <c r="I45" s="38">
        <f t="shared" si="1"/>
        <v>6000</v>
      </c>
      <c r="J45" s="64" t="s">
        <v>35</v>
      </c>
      <c r="K45" s="10"/>
      <c r="M45" s="2" t="s">
        <v>0</v>
      </c>
      <c r="U45" s="2" t="s">
        <v>0</v>
      </c>
    </row>
    <row r="46" spans="1:21" ht="15" customHeight="1">
      <c r="A46" s="49" t="s">
        <v>64</v>
      </c>
      <c r="B46" s="27"/>
      <c r="C46" s="27"/>
      <c r="D46" s="27"/>
      <c r="E46" s="51" t="s">
        <v>53</v>
      </c>
      <c r="F46" s="50">
        <v>87</v>
      </c>
      <c r="G46" s="27"/>
      <c r="H46" s="37">
        <f>$E$4</f>
        <v>100</v>
      </c>
      <c r="I46" s="38">
        <f t="shared" si="1"/>
        <v>8700</v>
      </c>
      <c r="J46" s="64" t="s">
        <v>35</v>
      </c>
      <c r="K46" s="10"/>
      <c r="M46" s="2"/>
      <c r="U46" s="2"/>
    </row>
    <row r="47" spans="1:21" ht="15" customHeight="1">
      <c r="A47" s="106" t="s">
        <v>84</v>
      </c>
      <c r="B47" s="151">
        <v>2.4</v>
      </c>
      <c r="C47" s="115">
        <f>ROUND((E4/B47),0)</f>
        <v>42</v>
      </c>
      <c r="D47" s="27" t="s">
        <v>85</v>
      </c>
      <c r="E47" s="64" t="s">
        <v>76</v>
      </c>
      <c r="F47" s="50">
        <f>1.0765*25000</f>
        <v>26912.5</v>
      </c>
      <c r="G47" s="18"/>
      <c r="H47" s="116">
        <f>ROUND((B47-1),2)</f>
        <v>1.4</v>
      </c>
      <c r="I47" s="38">
        <f t="shared" si="1"/>
        <v>37677.5</v>
      </c>
      <c r="J47" s="64" t="s">
        <v>35</v>
      </c>
      <c r="K47" s="10"/>
      <c r="M47" s="2"/>
      <c r="U47" s="2"/>
    </row>
    <row r="48" spans="1:21" ht="15" customHeight="1">
      <c r="A48" s="49" t="s">
        <v>65</v>
      </c>
      <c r="B48" s="27"/>
      <c r="C48" s="27"/>
      <c r="D48" s="27"/>
      <c r="E48" s="51" t="s">
        <v>53</v>
      </c>
      <c r="F48" s="50">
        <v>46.32</v>
      </c>
      <c r="G48" s="27"/>
      <c r="H48" s="37">
        <f>$E$4</f>
        <v>100</v>
      </c>
      <c r="I48" s="38">
        <f t="shared" si="1"/>
        <v>4632</v>
      </c>
      <c r="J48" s="64" t="s">
        <v>35</v>
      </c>
      <c r="K48" s="10"/>
      <c r="M48" s="2"/>
      <c r="U48" s="2"/>
    </row>
    <row r="49" spans="1:21" ht="15">
      <c r="A49" s="54" t="s">
        <v>66</v>
      </c>
      <c r="B49" s="50"/>
      <c r="C49" s="50"/>
      <c r="D49" s="50"/>
      <c r="E49" s="51" t="s">
        <v>53</v>
      </c>
      <c r="F49" s="50">
        <v>53.09</v>
      </c>
      <c r="G49" s="27"/>
      <c r="H49" s="37">
        <f>$E$4</f>
        <v>100</v>
      </c>
      <c r="I49" s="38">
        <f t="shared" si="1"/>
        <v>5309</v>
      </c>
      <c r="J49" s="64" t="s">
        <v>35</v>
      </c>
      <c r="K49" s="10"/>
      <c r="M49" s="2" t="s">
        <v>0</v>
      </c>
      <c r="U49" s="2" t="s">
        <v>0</v>
      </c>
    </row>
    <row r="50" spans="1:21" ht="15">
      <c r="A50" s="54" t="s">
        <v>103</v>
      </c>
      <c r="B50" s="50"/>
      <c r="C50" s="50"/>
      <c r="D50" s="50"/>
      <c r="E50" s="51" t="s">
        <v>53</v>
      </c>
      <c r="F50" s="50">
        <v>51.56</v>
      </c>
      <c r="G50" s="27"/>
      <c r="H50" s="37">
        <f>$E$4</f>
        <v>100</v>
      </c>
      <c r="I50" s="38">
        <f t="shared" si="1"/>
        <v>5156</v>
      </c>
      <c r="J50" s="64" t="s">
        <v>35</v>
      </c>
      <c r="K50" s="10"/>
      <c r="M50" s="2" t="s">
        <v>0</v>
      </c>
      <c r="U50" s="2" t="s">
        <v>0</v>
      </c>
    </row>
    <row r="51" spans="1:21" ht="15">
      <c r="A51" s="54" t="s">
        <v>67</v>
      </c>
      <c r="B51" s="50"/>
      <c r="C51" s="50"/>
      <c r="D51" s="50"/>
      <c r="E51" s="51" t="s">
        <v>53</v>
      </c>
      <c r="F51" s="50">
        <v>32.68</v>
      </c>
      <c r="G51" s="27"/>
      <c r="H51" s="37">
        <f>$E$4</f>
        <v>100</v>
      </c>
      <c r="I51" s="38">
        <f t="shared" si="1"/>
        <v>3268</v>
      </c>
      <c r="J51" s="64" t="s">
        <v>35</v>
      </c>
      <c r="K51" s="10"/>
      <c r="M51" s="2" t="s">
        <v>0</v>
      </c>
      <c r="U51" s="2" t="s">
        <v>0</v>
      </c>
    </row>
    <row r="52" spans="1:21" ht="15">
      <c r="A52" s="54" t="s">
        <v>78</v>
      </c>
      <c r="B52" s="54"/>
      <c r="C52" s="50"/>
      <c r="D52" s="50"/>
      <c r="E52" s="51" t="s">
        <v>53</v>
      </c>
      <c r="F52" s="50">
        <v>66</v>
      </c>
      <c r="G52" s="27"/>
      <c r="H52" s="37">
        <f>$E$4</f>
        <v>100</v>
      </c>
      <c r="I52" s="38">
        <f t="shared" si="1"/>
        <v>6600</v>
      </c>
      <c r="J52" s="64" t="s">
        <v>35</v>
      </c>
      <c r="K52" s="10"/>
      <c r="M52" s="2" t="s">
        <v>0</v>
      </c>
      <c r="U52" s="2" t="s">
        <v>0</v>
      </c>
    </row>
    <row r="53" spans="1:26" ht="21" customHeight="1">
      <c r="A53" s="113" t="s">
        <v>105</v>
      </c>
      <c r="B53" s="27"/>
      <c r="C53" s="27"/>
      <c r="D53" s="27"/>
      <c r="E53" s="27"/>
      <c r="F53" s="49"/>
      <c r="G53" s="152">
        <f>ROUND((I53/$E$4),2)</f>
        <v>3446.21</v>
      </c>
      <c r="H53" s="27" t="s">
        <v>100</v>
      </c>
      <c r="I53" s="132">
        <f>SUM(I20:I52)</f>
        <v>344621.48</v>
      </c>
      <c r="J53" s="64" t="s">
        <v>35</v>
      </c>
      <c r="K53" s="16"/>
      <c r="M53" s="2" t="s">
        <v>0</v>
      </c>
      <c r="U53" s="2" t="s">
        <v>0</v>
      </c>
      <c r="Z53" s="8" t="s">
        <v>0</v>
      </c>
    </row>
    <row r="54" spans="1:26" ht="21" customHeight="1">
      <c r="A54" s="92" t="s">
        <v>91</v>
      </c>
      <c r="B54" s="27"/>
      <c r="C54" s="27"/>
      <c r="D54" s="27"/>
      <c r="E54" s="27"/>
      <c r="F54" s="27"/>
      <c r="G54" s="27"/>
      <c r="H54" s="27"/>
      <c r="I54" s="38">
        <f>J107</f>
        <v>0</v>
      </c>
      <c r="J54" s="64" t="s">
        <v>35</v>
      </c>
      <c r="K54" s="10"/>
      <c r="M54" s="2"/>
      <c r="U54" s="2"/>
      <c r="Z54" s="8"/>
    </row>
    <row r="55" spans="1:11" ht="21" customHeight="1" thickBot="1">
      <c r="A55" s="133" t="s">
        <v>102</v>
      </c>
      <c r="B55" s="41"/>
      <c r="C55" s="41"/>
      <c r="D55" s="41"/>
      <c r="E55" s="41"/>
      <c r="F55" s="41"/>
      <c r="G55" s="153">
        <f>ROUND((I55/$E$4),2)</f>
        <v>225.54</v>
      </c>
      <c r="H55" s="27" t="s">
        <v>100</v>
      </c>
      <c r="I55" s="134">
        <f>I17-I53-I54</f>
        <v>22553.910000000033</v>
      </c>
      <c r="J55" s="85" t="s">
        <v>35</v>
      </c>
      <c r="K55" s="11"/>
    </row>
    <row r="56" spans="1:26" ht="19.5" customHeight="1" thickTop="1">
      <c r="A56" s="165" t="s">
        <v>36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0"/>
      <c r="L56" s="5" t="s">
        <v>0</v>
      </c>
      <c r="M56" s="2" t="s">
        <v>0</v>
      </c>
      <c r="N56" s="5" t="s">
        <v>0</v>
      </c>
      <c r="U56" s="2" t="s">
        <v>0</v>
      </c>
      <c r="Z56" s="8" t="s">
        <v>0</v>
      </c>
    </row>
    <row r="57" spans="1:26" ht="19.5" customHeight="1">
      <c r="A57" s="27"/>
      <c r="B57" s="27"/>
      <c r="C57" s="27"/>
      <c r="D57" s="27"/>
      <c r="E57" s="27"/>
      <c r="F57" s="64"/>
      <c r="G57" s="27"/>
      <c r="H57" s="27"/>
      <c r="I57" s="27"/>
      <c r="J57" s="27"/>
      <c r="K57" s="10"/>
      <c r="L57" s="5"/>
      <c r="M57" s="2"/>
      <c r="N57" s="5"/>
      <c r="U57" s="2"/>
      <c r="Z57" s="8"/>
    </row>
    <row r="58" spans="1:26" ht="19.5" customHeight="1">
      <c r="A58" s="27"/>
      <c r="B58" s="27"/>
      <c r="C58" s="27"/>
      <c r="D58" s="27"/>
      <c r="E58" s="27"/>
      <c r="F58" s="64"/>
      <c r="G58" s="27"/>
      <c r="H58" s="27"/>
      <c r="I58" s="27"/>
      <c r="J58" s="27"/>
      <c r="K58" s="10"/>
      <c r="L58" s="5"/>
      <c r="M58" s="2"/>
      <c r="N58" s="5"/>
      <c r="U58" s="2"/>
      <c r="Z58" s="8"/>
    </row>
    <row r="59" spans="1:26" ht="19.5" customHeight="1">
      <c r="A59" s="27"/>
      <c r="B59" s="27"/>
      <c r="C59" s="27"/>
      <c r="D59" s="27"/>
      <c r="E59" s="27"/>
      <c r="F59" s="64"/>
      <c r="G59" s="27"/>
      <c r="H59" s="27"/>
      <c r="I59" s="27"/>
      <c r="J59" s="27"/>
      <c r="K59" s="10"/>
      <c r="L59" s="5"/>
      <c r="M59" s="2"/>
      <c r="N59" s="5"/>
      <c r="U59" s="2"/>
      <c r="Z59" s="8"/>
    </row>
    <row r="60" spans="1:11" ht="15">
      <c r="A60" s="49"/>
      <c r="B60" s="27"/>
      <c r="C60" s="27"/>
      <c r="D60" s="27"/>
      <c r="E60" s="37"/>
      <c r="F60" s="27"/>
      <c r="G60" s="27"/>
      <c r="H60" s="37"/>
      <c r="I60" s="27"/>
      <c r="J60" s="60"/>
      <c r="K60" s="10"/>
    </row>
    <row r="61" spans="1:21" ht="18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10"/>
      <c r="M61" s="2" t="s">
        <v>0</v>
      </c>
      <c r="U61" s="2" t="s">
        <v>0</v>
      </c>
    </row>
    <row r="62" spans="1:21" ht="18" customHeight="1">
      <c r="A62" s="172" t="str">
        <f>F3</f>
        <v>GRAZING DAIRY COW - 16000 Lb Production</v>
      </c>
      <c r="B62" s="173"/>
      <c r="C62" s="173"/>
      <c r="D62" s="173"/>
      <c r="E62" s="173"/>
      <c r="F62" s="173"/>
      <c r="G62" s="29"/>
      <c r="H62" s="29"/>
      <c r="I62" s="29"/>
      <c r="J62" s="61" t="s">
        <v>17</v>
      </c>
      <c r="K62" s="10"/>
      <c r="L62" s="5" t="s">
        <v>0</v>
      </c>
      <c r="M62" s="2" t="s">
        <v>0</v>
      </c>
      <c r="N62" s="5" t="s">
        <v>0</v>
      </c>
      <c r="U62" s="2" t="s">
        <v>0</v>
      </c>
    </row>
    <row r="63" spans="1:21" ht="18" customHeight="1">
      <c r="A63" s="135"/>
      <c r="B63" s="136"/>
      <c r="C63" s="110"/>
      <c r="D63" s="109"/>
      <c r="E63" s="137"/>
      <c r="F63" s="109"/>
      <c r="G63" s="109"/>
      <c r="H63" s="109"/>
      <c r="I63" s="109"/>
      <c r="J63" s="138"/>
      <c r="K63" s="10"/>
      <c r="L63" s="5"/>
      <c r="M63" s="2"/>
      <c r="N63" s="5"/>
      <c r="U63" s="2"/>
    </row>
    <row r="64" spans="1:26" s="18" customFormat="1" ht="15">
      <c r="A64" s="167" t="s">
        <v>92</v>
      </c>
      <c r="B64" s="167"/>
      <c r="C64" s="27"/>
      <c r="D64" s="168" t="s">
        <v>93</v>
      </c>
      <c r="E64" s="168"/>
      <c r="F64" s="168"/>
      <c r="G64" s="168"/>
      <c r="H64" s="168"/>
      <c r="I64" s="169"/>
      <c r="J64" s="169"/>
      <c r="K64" s="16"/>
      <c r="M64" s="17" t="s">
        <v>0</v>
      </c>
      <c r="O64" s="140" t="s">
        <v>0</v>
      </c>
      <c r="U64" s="17" t="s">
        <v>0</v>
      </c>
      <c r="Z64" s="19" t="s">
        <v>0</v>
      </c>
    </row>
    <row r="65" spans="1:26" s="18" customFormat="1" ht="15">
      <c r="A65" s="154" t="s">
        <v>104</v>
      </c>
      <c r="B65" s="141"/>
      <c r="C65" s="142"/>
      <c r="D65" s="143">
        <f>$G$65-($B$74*5)</f>
        <v>-0.1</v>
      </c>
      <c r="E65" s="143">
        <f>$G$65-($B$74*2)</f>
        <v>-0.04</v>
      </c>
      <c r="F65" s="143">
        <f>$G$65-($B$74)</f>
        <v>-0.02</v>
      </c>
      <c r="G65" s="143">
        <v>0</v>
      </c>
      <c r="H65" s="143">
        <f>$G$65+($B$74)</f>
        <v>0.02</v>
      </c>
      <c r="I65" s="143">
        <f>$G$65+($B$74*2)</f>
        <v>0.04</v>
      </c>
      <c r="J65" s="143">
        <f>$G$65+($B$74*5)</f>
        <v>0.1</v>
      </c>
      <c r="K65" s="16"/>
      <c r="M65" s="17" t="s">
        <v>0</v>
      </c>
      <c r="O65" s="140" t="s">
        <v>0</v>
      </c>
      <c r="U65" s="17" t="s">
        <v>0</v>
      </c>
      <c r="Z65" s="19" t="s">
        <v>0</v>
      </c>
    </row>
    <row r="66" spans="1:26" s="18" customFormat="1" ht="15">
      <c r="A66" s="141"/>
      <c r="B66" s="141"/>
      <c r="C66" s="142"/>
      <c r="D66" s="170" t="s">
        <v>94</v>
      </c>
      <c r="E66" s="171"/>
      <c r="F66" s="171"/>
      <c r="G66" s="171"/>
      <c r="H66" s="171"/>
      <c r="I66" s="171"/>
      <c r="J66" s="171"/>
      <c r="K66" s="16"/>
      <c r="M66" s="17"/>
      <c r="O66" s="140"/>
      <c r="U66" s="17"/>
      <c r="Z66" s="19"/>
    </row>
    <row r="67" spans="2:26" s="18" customFormat="1" ht="18" customHeight="1">
      <c r="B67" s="144">
        <f>$B$69-($B$74*2)</f>
        <v>-0.04</v>
      </c>
      <c r="C67" s="27"/>
      <c r="D67" s="150">
        <f aca="true" t="shared" si="4" ref="D67:J72">(($I$17*(1+D$65))-($I$53*(1+$B67)))/$E$4</f>
        <v>-3.787697999999509</v>
      </c>
      <c r="E67" s="150">
        <f t="shared" si="4"/>
        <v>216.51753599999995</v>
      </c>
      <c r="F67" s="150">
        <f t="shared" si="4"/>
        <v>289.95261400000015</v>
      </c>
      <c r="G67" s="150">
        <f t="shared" si="4"/>
        <v>363.3876920000004</v>
      </c>
      <c r="H67" s="150">
        <f t="shared" si="4"/>
        <v>436.8227700000006</v>
      </c>
      <c r="I67" s="150">
        <f t="shared" si="4"/>
        <v>510.2578480000008</v>
      </c>
      <c r="J67" s="150">
        <f t="shared" si="4"/>
        <v>730.5630820000009</v>
      </c>
      <c r="K67" s="16"/>
      <c r="M67" s="17" t="s">
        <v>0</v>
      </c>
      <c r="O67" s="140" t="s">
        <v>0</v>
      </c>
      <c r="U67" s="17" t="s">
        <v>0</v>
      </c>
      <c r="Z67" s="19" t="s">
        <v>0</v>
      </c>
    </row>
    <row r="68" spans="1:26" s="18" customFormat="1" ht="15">
      <c r="A68" s="139" t="s">
        <v>19</v>
      </c>
      <c r="B68" s="144">
        <f>$B$69-$B$74</f>
        <v>-0.02</v>
      </c>
      <c r="C68" s="27"/>
      <c r="D68" s="150">
        <f t="shared" si="4"/>
        <v>-72.71199399999925</v>
      </c>
      <c r="E68" s="150">
        <f t="shared" si="4"/>
        <v>147.59324000000024</v>
      </c>
      <c r="F68" s="150">
        <f t="shared" si="4"/>
        <v>221.02831800000044</v>
      </c>
      <c r="G68" s="150">
        <f t="shared" si="4"/>
        <v>294.46339600000067</v>
      </c>
      <c r="H68" s="150">
        <f t="shared" si="4"/>
        <v>367.8984740000009</v>
      </c>
      <c r="I68" s="150">
        <f t="shared" si="4"/>
        <v>441.3335520000011</v>
      </c>
      <c r="J68" s="150">
        <f t="shared" si="4"/>
        <v>661.6387860000011</v>
      </c>
      <c r="K68" s="16"/>
      <c r="M68" s="17" t="s">
        <v>0</v>
      </c>
      <c r="O68" s="140" t="s">
        <v>0</v>
      </c>
      <c r="U68" s="17" t="s">
        <v>0</v>
      </c>
      <c r="Z68" s="19" t="s">
        <v>0</v>
      </c>
    </row>
    <row r="69" spans="1:26" s="18" customFormat="1" ht="15">
      <c r="A69" s="139" t="s">
        <v>95</v>
      </c>
      <c r="B69" s="144">
        <v>0</v>
      </c>
      <c r="C69" s="27"/>
      <c r="D69" s="150">
        <f t="shared" si="4"/>
        <v>-141.63628999999958</v>
      </c>
      <c r="E69" s="150">
        <f t="shared" si="4"/>
        <v>78.6689439999999</v>
      </c>
      <c r="F69" s="150">
        <f t="shared" si="4"/>
        <v>152.1040220000001</v>
      </c>
      <c r="G69" s="145">
        <f t="shared" si="4"/>
        <v>225.53910000000033</v>
      </c>
      <c r="H69" s="150">
        <f t="shared" si="4"/>
        <v>298.97417800000056</v>
      </c>
      <c r="I69" s="150">
        <f t="shared" si="4"/>
        <v>372.40925600000077</v>
      </c>
      <c r="J69" s="150">
        <f t="shared" si="4"/>
        <v>592.7144900000008</v>
      </c>
      <c r="K69" s="16"/>
      <c r="M69" s="17" t="s">
        <v>0</v>
      </c>
      <c r="O69" s="140" t="s">
        <v>0</v>
      </c>
      <c r="U69" s="17" t="s">
        <v>0</v>
      </c>
      <c r="Z69" s="19" t="s">
        <v>0</v>
      </c>
    </row>
    <row r="70" spans="1:26" s="18" customFormat="1" ht="15">
      <c r="A70" s="139" t="s">
        <v>96</v>
      </c>
      <c r="B70" s="144">
        <f>$B$69+$B$74</f>
        <v>0.02</v>
      </c>
      <c r="C70" s="27"/>
      <c r="D70" s="150">
        <f t="shared" si="4"/>
        <v>-210.5605859999999</v>
      </c>
      <c r="E70" s="150">
        <f t="shared" si="4"/>
        <v>9.744647999999579</v>
      </c>
      <c r="F70" s="150">
        <f t="shared" si="4"/>
        <v>83.17972599999979</v>
      </c>
      <c r="G70" s="150">
        <f t="shared" si="4"/>
        <v>156.614804</v>
      </c>
      <c r="H70" s="150">
        <f t="shared" si="4"/>
        <v>230.04988200000022</v>
      </c>
      <c r="I70" s="150">
        <f t="shared" si="4"/>
        <v>303.48496000000046</v>
      </c>
      <c r="J70" s="150">
        <f t="shared" si="4"/>
        <v>523.7901940000005</v>
      </c>
      <c r="K70" s="16"/>
      <c r="M70" s="17" t="s">
        <v>0</v>
      </c>
      <c r="O70" s="140" t="s">
        <v>0</v>
      </c>
      <c r="U70" s="17" t="s">
        <v>0</v>
      </c>
      <c r="Z70" s="19" t="s">
        <v>0</v>
      </c>
    </row>
    <row r="71" spans="1:21" s="18" customFormat="1" ht="15">
      <c r="A71" s="139" t="s">
        <v>97</v>
      </c>
      <c r="B71" s="144">
        <f>$B$69+($B$74*2)</f>
        <v>0.04</v>
      </c>
      <c r="C71" s="27"/>
      <c r="D71" s="150">
        <f t="shared" si="4"/>
        <v>-279.48488199999963</v>
      </c>
      <c r="E71" s="150">
        <f t="shared" si="4"/>
        <v>-59.179648000000164</v>
      </c>
      <c r="F71" s="150">
        <f t="shared" si="4"/>
        <v>14.255430000000052</v>
      </c>
      <c r="G71" s="150">
        <f t="shared" si="4"/>
        <v>87.69050800000026</v>
      </c>
      <c r="H71" s="150">
        <f t="shared" si="4"/>
        <v>161.12558600000048</v>
      </c>
      <c r="I71" s="150">
        <f t="shared" si="4"/>
        <v>234.56066400000068</v>
      </c>
      <c r="J71" s="150">
        <f t="shared" si="4"/>
        <v>454.86589800000075</v>
      </c>
      <c r="K71" s="16"/>
      <c r="M71" s="17" t="s">
        <v>0</v>
      </c>
      <c r="U71" s="17" t="s">
        <v>0</v>
      </c>
    </row>
    <row r="72" spans="1:26" s="18" customFormat="1" ht="15">
      <c r="A72" s="141"/>
      <c r="B72" s="144">
        <f>$B$69+($B$74*5)</f>
        <v>0.1</v>
      </c>
      <c r="C72" s="27"/>
      <c r="D72" s="150">
        <f t="shared" si="4"/>
        <v>-486.25777</v>
      </c>
      <c r="E72" s="150">
        <f t="shared" si="4"/>
        <v>-265.9525360000005</v>
      </c>
      <c r="F72" s="150">
        <f t="shared" si="4"/>
        <v>-192.51745800000035</v>
      </c>
      <c r="G72" s="150">
        <f t="shared" si="4"/>
        <v>-119.08238000000011</v>
      </c>
      <c r="H72" s="150">
        <f t="shared" si="4"/>
        <v>-45.64730199999991</v>
      </c>
      <c r="I72" s="150">
        <f t="shared" si="4"/>
        <v>27.787776000000303</v>
      </c>
      <c r="J72" s="150">
        <f t="shared" si="4"/>
        <v>248.09301000000036</v>
      </c>
      <c r="K72" s="16"/>
      <c r="M72" s="17" t="s">
        <v>0</v>
      </c>
      <c r="U72" s="17" t="s">
        <v>0</v>
      </c>
      <c r="Z72" s="19" t="s">
        <v>0</v>
      </c>
    </row>
    <row r="73" spans="1:26" s="18" customFormat="1" ht="15" customHeight="1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6"/>
      <c r="M73" s="17"/>
      <c r="U73" s="17"/>
      <c r="Z73" s="19"/>
    </row>
    <row r="74" spans="1:26" s="18" customFormat="1" ht="15" customHeight="1">
      <c r="A74" s="141"/>
      <c r="B74" s="147">
        <v>0.02</v>
      </c>
      <c r="C74" s="148" t="s">
        <v>98</v>
      </c>
      <c r="E74" s="149"/>
      <c r="F74" s="149"/>
      <c r="G74" s="149"/>
      <c r="H74" s="149"/>
      <c r="I74" s="149"/>
      <c r="J74" s="149"/>
      <c r="K74" s="16"/>
      <c r="M74" s="17"/>
      <c r="U74" s="17"/>
      <c r="Z74" s="19"/>
    </row>
    <row r="75" spans="1:21" ht="1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10"/>
      <c r="M75" s="2" t="s">
        <v>0</v>
      </c>
      <c r="U75" s="2" t="s">
        <v>0</v>
      </c>
    </row>
    <row r="76" spans="1:21" ht="18.75" customHeight="1">
      <c r="A76" s="92" t="s">
        <v>99</v>
      </c>
      <c r="B76" s="27"/>
      <c r="C76" s="27"/>
      <c r="D76" s="53" t="s">
        <v>29</v>
      </c>
      <c r="E76" s="53" t="s">
        <v>29</v>
      </c>
      <c r="F76" s="53" t="s">
        <v>31</v>
      </c>
      <c r="G76" s="53" t="s">
        <v>32</v>
      </c>
      <c r="H76" s="53" t="s">
        <v>34</v>
      </c>
      <c r="I76" s="53" t="s">
        <v>33</v>
      </c>
      <c r="K76" s="10"/>
      <c r="L76" s="5" t="s">
        <v>0</v>
      </c>
      <c r="M76" s="2" t="s">
        <v>0</v>
      </c>
      <c r="N76" s="5" t="s">
        <v>0</v>
      </c>
      <c r="U76" s="2" t="s">
        <v>0</v>
      </c>
    </row>
    <row r="77" spans="1:26" ht="15" customHeight="1">
      <c r="A77" s="43" t="s">
        <v>9</v>
      </c>
      <c r="B77" s="27"/>
      <c r="C77" s="27"/>
      <c r="D77" s="53" t="s">
        <v>30</v>
      </c>
      <c r="E77" s="53" t="s">
        <v>30</v>
      </c>
      <c r="F77" s="53" t="s">
        <v>30</v>
      </c>
      <c r="G77" s="53" t="s">
        <v>33</v>
      </c>
      <c r="H77" s="53" t="s">
        <v>68</v>
      </c>
      <c r="I77" s="53" t="s">
        <v>69</v>
      </c>
      <c r="K77" s="10"/>
      <c r="L77" s="5" t="s">
        <v>0</v>
      </c>
      <c r="M77" s="2" t="s">
        <v>0</v>
      </c>
      <c r="N77" s="5" t="s">
        <v>0</v>
      </c>
      <c r="U77" s="2" t="s">
        <v>0</v>
      </c>
      <c r="Z77" s="8" t="s">
        <v>0</v>
      </c>
    </row>
    <row r="78" spans="1:21" ht="15">
      <c r="A78" s="27"/>
      <c r="B78" s="95"/>
      <c r="C78" s="95" t="s">
        <v>50</v>
      </c>
      <c r="D78" s="103">
        <f>E4</f>
        <v>100</v>
      </c>
      <c r="E78" s="125">
        <f>E4</f>
        <v>100</v>
      </c>
      <c r="F78" s="34">
        <f>D78</f>
        <v>100</v>
      </c>
      <c r="G78" s="34">
        <f>ROUND(((H78*(1-($G$6/50)))+0.49),0)</f>
        <v>42</v>
      </c>
      <c r="H78" s="34">
        <f>ROUND(((I78*(1-($G$6/50)))-0.49),0)</f>
        <v>44</v>
      </c>
      <c r="I78" s="128">
        <f>ROUND(((E4*G5/100)-H12),0)</f>
        <v>47</v>
      </c>
      <c r="J78" s="98" t="s">
        <v>72</v>
      </c>
      <c r="K78" s="10"/>
      <c r="M78" s="53"/>
      <c r="U78" s="2" t="s">
        <v>0</v>
      </c>
    </row>
    <row r="79" spans="1:21" ht="15">
      <c r="A79" s="44"/>
      <c r="B79" s="44"/>
      <c r="C79" s="94" t="s">
        <v>51</v>
      </c>
      <c r="D79" s="45">
        <v>150</v>
      </c>
      <c r="E79" s="126">
        <v>155</v>
      </c>
      <c r="F79" s="45">
        <v>60</v>
      </c>
      <c r="G79" s="45">
        <v>365</v>
      </c>
      <c r="H79" s="45">
        <v>365</v>
      </c>
      <c r="I79" s="45">
        <v>365</v>
      </c>
      <c r="J79" s="100" t="s">
        <v>73</v>
      </c>
      <c r="K79" s="10"/>
      <c r="M79" s="5" t="s">
        <v>0</v>
      </c>
      <c r="U79" s="2" t="s">
        <v>0</v>
      </c>
    </row>
    <row r="80" spans="1:26" ht="13.5" customHeight="1">
      <c r="A80" s="55"/>
      <c r="B80" s="55"/>
      <c r="C80" s="158" t="s">
        <v>110</v>
      </c>
      <c r="D80" s="55"/>
      <c r="E80" s="125"/>
      <c r="F80" s="55"/>
      <c r="G80" s="55"/>
      <c r="H80" s="55"/>
      <c r="I80" s="55"/>
      <c r="K80" s="10"/>
      <c r="M80" s="55"/>
      <c r="U80" s="2" t="s">
        <v>0</v>
      </c>
      <c r="Z80" s="8" t="s">
        <v>0</v>
      </c>
    </row>
    <row r="81" spans="1:26" ht="15">
      <c r="A81" s="52" t="s">
        <v>42</v>
      </c>
      <c r="B81" s="157" t="s">
        <v>109</v>
      </c>
      <c r="C81" s="102"/>
      <c r="D81" s="40">
        <v>42</v>
      </c>
      <c r="E81" s="127">
        <v>0</v>
      </c>
      <c r="F81" s="40">
        <v>25</v>
      </c>
      <c r="G81" s="40">
        <v>37</v>
      </c>
      <c r="H81" s="40">
        <v>19</v>
      </c>
      <c r="I81" s="40">
        <v>18</v>
      </c>
      <c r="J81" s="99">
        <f>ROUND(((($D$78*$D$79*D81)+($E$78*$E$79*E81)+($F$78*$F$79*F81)+($G$78*$G$79*G81)+($H$78*$H$79*H81)+($I$78*$I$79*I81))/2000),2)</f>
        <v>980.57</v>
      </c>
      <c r="K81" s="10"/>
      <c r="M81" s="58"/>
      <c r="U81" s="2" t="s">
        <v>0</v>
      </c>
      <c r="Z81" s="8" t="s">
        <v>0</v>
      </c>
    </row>
    <row r="82" spans="1:21" ht="15">
      <c r="A82" s="52" t="s">
        <v>43</v>
      </c>
      <c r="B82" s="157" t="s">
        <v>109</v>
      </c>
      <c r="C82" s="102"/>
      <c r="D82" s="40">
        <v>20</v>
      </c>
      <c r="E82" s="127">
        <v>0</v>
      </c>
      <c r="F82" s="40">
        <v>0</v>
      </c>
      <c r="G82" s="40">
        <v>0</v>
      </c>
      <c r="H82" s="40">
        <v>0</v>
      </c>
      <c r="I82" s="40">
        <v>0</v>
      </c>
      <c r="J82" s="99">
        <f aca="true" t="shared" si="5" ref="J82:J91">ROUND(((($D$78*$D$79*D82)+($E$78*$E$79*E82)+($F$78*$F$79*F82)+($G$78*$G$79*G82)+($H$78*$H$79*H82)+($I$78*$I$79*I82))/2000),2)</f>
        <v>150</v>
      </c>
      <c r="K82" s="10"/>
      <c r="M82" s="58"/>
      <c r="U82" s="2" t="s">
        <v>0</v>
      </c>
    </row>
    <row r="83" spans="1:26" ht="15" customHeight="1">
      <c r="A83" s="52" t="s">
        <v>44</v>
      </c>
      <c r="B83" s="157" t="s">
        <v>109</v>
      </c>
      <c r="C83" s="102"/>
      <c r="D83" s="40">
        <v>5</v>
      </c>
      <c r="E83" s="127">
        <v>5</v>
      </c>
      <c r="F83" s="40">
        <v>0</v>
      </c>
      <c r="G83" s="40">
        <v>0</v>
      </c>
      <c r="H83" s="40">
        <v>0</v>
      </c>
      <c r="I83" s="40">
        <v>0</v>
      </c>
      <c r="J83" s="99">
        <f t="shared" si="5"/>
        <v>76.25</v>
      </c>
      <c r="K83" s="10"/>
      <c r="M83" s="58"/>
      <c r="U83" s="2" t="s">
        <v>0</v>
      </c>
      <c r="Z83" s="8" t="s">
        <v>0</v>
      </c>
    </row>
    <row r="84" spans="1:26" ht="15">
      <c r="A84" s="52" t="s">
        <v>45</v>
      </c>
      <c r="B84" s="157" t="s">
        <v>109</v>
      </c>
      <c r="C84" s="102"/>
      <c r="D84" s="40">
        <v>0</v>
      </c>
      <c r="E84" s="127">
        <v>0</v>
      </c>
      <c r="F84" s="40">
        <v>18</v>
      </c>
      <c r="G84" s="40">
        <v>5.5</v>
      </c>
      <c r="H84" s="40">
        <v>7.5</v>
      </c>
      <c r="I84" s="40">
        <v>3</v>
      </c>
      <c r="J84" s="99">
        <f t="shared" si="5"/>
        <v>182.12</v>
      </c>
      <c r="K84" s="10"/>
      <c r="L84" s="5" t="s">
        <v>0</v>
      </c>
      <c r="M84" s="58"/>
      <c r="N84" s="5" t="s">
        <v>0</v>
      </c>
      <c r="U84" s="2" t="s">
        <v>0</v>
      </c>
      <c r="Z84" s="8" t="s">
        <v>0</v>
      </c>
    </row>
    <row r="85" spans="1:13" ht="15">
      <c r="A85" s="52" t="s">
        <v>10</v>
      </c>
      <c r="B85" s="157" t="s">
        <v>109</v>
      </c>
      <c r="C85" s="102"/>
      <c r="D85" s="40">
        <v>2.5</v>
      </c>
      <c r="E85" s="127">
        <v>2.5</v>
      </c>
      <c r="F85" s="40">
        <v>0</v>
      </c>
      <c r="G85" s="40">
        <v>3</v>
      </c>
      <c r="H85" s="40">
        <v>1.7</v>
      </c>
      <c r="I85" s="40">
        <v>1</v>
      </c>
      <c r="J85" s="99">
        <f t="shared" si="5"/>
        <v>83.35</v>
      </c>
      <c r="K85" s="10"/>
      <c r="M85" s="58"/>
    </row>
    <row r="86" spans="1:13" ht="15">
      <c r="A86" s="97" t="s">
        <v>46</v>
      </c>
      <c r="B86" s="157" t="s">
        <v>109</v>
      </c>
      <c r="C86" s="102">
        <v>56</v>
      </c>
      <c r="D86" s="40">
        <v>9.5</v>
      </c>
      <c r="E86" s="127">
        <v>9.5</v>
      </c>
      <c r="F86" s="40">
        <v>0</v>
      </c>
      <c r="G86" s="40">
        <v>0</v>
      </c>
      <c r="H86" s="40">
        <v>0</v>
      </c>
      <c r="I86" s="40">
        <v>0</v>
      </c>
      <c r="J86" s="99">
        <f t="shared" si="5"/>
        <v>144.88</v>
      </c>
      <c r="K86" s="10"/>
      <c r="M86" s="58"/>
    </row>
    <row r="87" spans="1:13" ht="15">
      <c r="A87" s="52" t="s">
        <v>47</v>
      </c>
      <c r="B87" s="157" t="s">
        <v>109</v>
      </c>
      <c r="C87" s="102"/>
      <c r="D87" s="40">
        <v>3</v>
      </c>
      <c r="E87" s="127">
        <v>0</v>
      </c>
      <c r="F87" s="40">
        <v>0</v>
      </c>
      <c r="G87" s="40">
        <v>0</v>
      </c>
      <c r="H87" s="40">
        <v>0</v>
      </c>
      <c r="I87" s="40">
        <v>0</v>
      </c>
      <c r="J87" s="99">
        <f t="shared" si="5"/>
        <v>22.5</v>
      </c>
      <c r="K87" s="10"/>
      <c r="M87" s="58"/>
    </row>
    <row r="88" spans="1:26" ht="15">
      <c r="A88" s="52" t="s">
        <v>48</v>
      </c>
      <c r="B88" s="157" t="s">
        <v>109</v>
      </c>
      <c r="C88" s="102"/>
      <c r="D88" s="40">
        <v>0</v>
      </c>
      <c r="E88" s="127">
        <v>0</v>
      </c>
      <c r="F88" s="40">
        <v>0</v>
      </c>
      <c r="G88" s="40">
        <v>0</v>
      </c>
      <c r="H88" s="40">
        <v>0</v>
      </c>
      <c r="I88" s="40">
        <v>0</v>
      </c>
      <c r="J88" s="99">
        <f t="shared" si="5"/>
        <v>0</v>
      </c>
      <c r="K88" s="10"/>
      <c r="L88" s="5" t="s">
        <v>0</v>
      </c>
      <c r="M88" s="58"/>
      <c r="N88" s="5" t="s">
        <v>0</v>
      </c>
      <c r="U88" s="2" t="s">
        <v>0</v>
      </c>
      <c r="Z88" s="8" t="s">
        <v>0</v>
      </c>
    </row>
    <row r="89" spans="1:26" ht="15">
      <c r="A89" s="52" t="s">
        <v>49</v>
      </c>
      <c r="B89" s="157" t="s">
        <v>109</v>
      </c>
      <c r="C89" s="102"/>
      <c r="D89" s="40">
        <v>0</v>
      </c>
      <c r="E89" s="127">
        <v>0</v>
      </c>
      <c r="F89" s="40">
        <v>0</v>
      </c>
      <c r="G89" s="40">
        <v>0</v>
      </c>
      <c r="H89" s="40">
        <v>0</v>
      </c>
      <c r="I89" s="40">
        <v>0</v>
      </c>
      <c r="J89" s="99">
        <f t="shared" si="5"/>
        <v>0</v>
      </c>
      <c r="K89" s="10"/>
      <c r="M89" s="58"/>
      <c r="U89" s="2" t="s">
        <v>0</v>
      </c>
      <c r="Z89" s="8" t="s">
        <v>0</v>
      </c>
    </row>
    <row r="90" spans="1:26" ht="15">
      <c r="A90" s="155" t="s">
        <v>107</v>
      </c>
      <c r="B90" s="157" t="s">
        <v>109</v>
      </c>
      <c r="C90" s="102"/>
      <c r="D90" s="40">
        <v>0</v>
      </c>
      <c r="E90" s="127">
        <v>20</v>
      </c>
      <c r="F90" s="40">
        <v>0</v>
      </c>
      <c r="G90" s="40">
        <v>0</v>
      </c>
      <c r="H90" s="40">
        <v>0</v>
      </c>
      <c r="I90" s="40">
        <v>0</v>
      </c>
      <c r="J90" s="99">
        <f t="shared" si="5"/>
        <v>155</v>
      </c>
      <c r="K90" s="10"/>
      <c r="M90" s="58"/>
      <c r="U90" s="2" t="s">
        <v>0</v>
      </c>
      <c r="Z90" s="8" t="s">
        <v>0</v>
      </c>
    </row>
    <row r="91" spans="1:26" ht="15">
      <c r="A91" s="155" t="s">
        <v>107</v>
      </c>
      <c r="B91" s="157" t="s">
        <v>109</v>
      </c>
      <c r="C91" s="102"/>
      <c r="D91" s="40">
        <v>0</v>
      </c>
      <c r="E91" s="127">
        <v>0</v>
      </c>
      <c r="F91" s="40">
        <v>0</v>
      </c>
      <c r="G91" s="40">
        <v>0</v>
      </c>
      <c r="H91" s="40">
        <v>0</v>
      </c>
      <c r="I91" s="40">
        <v>0</v>
      </c>
      <c r="J91" s="99">
        <f t="shared" si="5"/>
        <v>0</v>
      </c>
      <c r="K91" s="10"/>
      <c r="M91" s="58"/>
      <c r="U91" s="2" t="s">
        <v>0</v>
      </c>
      <c r="Z91" s="8" t="s">
        <v>0</v>
      </c>
    </row>
    <row r="92" spans="1:26" ht="15">
      <c r="A92" s="56"/>
      <c r="B92" s="56"/>
      <c r="C92" s="56"/>
      <c r="D92" s="56"/>
      <c r="E92" s="56"/>
      <c r="F92" s="56"/>
      <c r="G92" s="56"/>
      <c r="H92" s="56"/>
      <c r="I92" s="56"/>
      <c r="J92" s="101"/>
      <c r="K92" s="16"/>
      <c r="M92" s="2" t="s">
        <v>0</v>
      </c>
      <c r="U92" s="2" t="s">
        <v>0</v>
      </c>
      <c r="Z92" s="8" t="s">
        <v>0</v>
      </c>
    </row>
    <row r="93" spans="1:21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10"/>
      <c r="M93" s="2" t="s">
        <v>0</v>
      </c>
      <c r="U93" s="2" t="s">
        <v>0</v>
      </c>
    </row>
    <row r="94" spans="1:26" ht="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10"/>
      <c r="M94" s="2" t="s">
        <v>0</v>
      </c>
      <c r="O94" s="7" t="s">
        <v>0</v>
      </c>
      <c r="U94" s="2" t="s">
        <v>0</v>
      </c>
      <c r="Z94" s="8" t="s">
        <v>0</v>
      </c>
    </row>
    <row r="95" spans="1:26" s="18" customFormat="1" ht="15">
      <c r="A95" s="62" t="s">
        <v>11</v>
      </c>
      <c r="B95" s="27"/>
      <c r="C95" s="27"/>
      <c r="D95" s="27"/>
      <c r="E95" s="37"/>
      <c r="F95" s="27"/>
      <c r="G95" s="27"/>
      <c r="H95" s="27"/>
      <c r="I95" s="27"/>
      <c r="J95" s="27"/>
      <c r="K95" s="16"/>
      <c r="M95" s="17" t="s">
        <v>0</v>
      </c>
      <c r="U95" s="17" t="s">
        <v>0</v>
      </c>
      <c r="Z95" s="19" t="s">
        <v>0</v>
      </c>
    </row>
    <row r="96" spans="1:26" s="18" customFormat="1" ht="15">
      <c r="A96" s="27"/>
      <c r="B96" s="27"/>
      <c r="C96" s="42"/>
      <c r="D96" s="63" t="s">
        <v>18</v>
      </c>
      <c r="E96" s="46"/>
      <c r="F96" s="64" t="s">
        <v>19</v>
      </c>
      <c r="G96" s="42"/>
      <c r="H96" s="64" t="s">
        <v>20</v>
      </c>
      <c r="I96" s="64" t="s">
        <v>19</v>
      </c>
      <c r="J96" s="63" t="s">
        <v>21</v>
      </c>
      <c r="K96" s="16"/>
      <c r="M96" s="17" t="s">
        <v>0</v>
      </c>
      <c r="U96" s="17" t="s">
        <v>0</v>
      </c>
      <c r="Z96" s="19" t="s">
        <v>0</v>
      </c>
    </row>
    <row r="97" spans="1:21" s="18" customFormat="1" ht="15">
      <c r="A97" s="65" t="s">
        <v>22</v>
      </c>
      <c r="B97" s="44"/>
      <c r="C97" s="47"/>
      <c r="D97" s="66" t="s">
        <v>23</v>
      </c>
      <c r="E97" s="47"/>
      <c r="F97" s="67" t="s">
        <v>24</v>
      </c>
      <c r="G97" s="47"/>
      <c r="H97" s="67" t="s">
        <v>25</v>
      </c>
      <c r="I97" s="67" t="s">
        <v>71</v>
      </c>
      <c r="J97" s="66" t="s">
        <v>26</v>
      </c>
      <c r="K97" s="16"/>
      <c r="M97" s="17" t="s">
        <v>0</v>
      </c>
      <c r="U97" s="17" t="s">
        <v>0</v>
      </c>
    </row>
    <row r="98" spans="1:26" s="18" customFormat="1" ht="12" customHeight="1">
      <c r="A98" s="68"/>
      <c r="B98" s="68"/>
      <c r="C98" s="68"/>
      <c r="D98" s="68"/>
      <c r="E98" s="68"/>
      <c r="F98" s="64"/>
      <c r="G98" s="68"/>
      <c r="H98" s="64"/>
      <c r="I98" s="64"/>
      <c r="J98" s="68"/>
      <c r="K98" s="16"/>
      <c r="M98" s="17" t="s">
        <v>0</v>
      </c>
      <c r="U98" s="17" t="s">
        <v>0</v>
      </c>
      <c r="Z98" s="19" t="s">
        <v>0</v>
      </c>
    </row>
    <row r="99" spans="1:26" s="18" customFormat="1" ht="15">
      <c r="A99" s="69" t="s">
        <v>27</v>
      </c>
      <c r="B99" s="70"/>
      <c r="C99" s="27"/>
      <c r="D99" s="48">
        <v>0</v>
      </c>
      <c r="E99" s="70"/>
      <c r="F99" s="71">
        <v>0</v>
      </c>
      <c r="G99" s="70"/>
      <c r="H99" s="72">
        <v>0</v>
      </c>
      <c r="I99" s="73">
        <v>1</v>
      </c>
      <c r="J99" s="74">
        <f aca="true" t="shared" si="6" ref="J99:J104">(IF(H99&gt;0,PMT(F99,H99,-D99),0))*(I99)</f>
        <v>0</v>
      </c>
      <c r="K99" s="75"/>
      <c r="L99" s="76" t="s">
        <v>0</v>
      </c>
      <c r="M99" s="17" t="s">
        <v>0</v>
      </c>
      <c r="N99" s="76" t="s">
        <v>0</v>
      </c>
      <c r="U99" s="17" t="s">
        <v>0</v>
      </c>
      <c r="Z99" s="19" t="s">
        <v>0</v>
      </c>
    </row>
    <row r="100" spans="1:11" s="18" customFormat="1" ht="15">
      <c r="A100" s="69" t="s">
        <v>28</v>
      </c>
      <c r="B100" s="70"/>
      <c r="C100" s="27"/>
      <c r="D100" s="48">
        <v>0</v>
      </c>
      <c r="E100" s="70"/>
      <c r="F100" s="71">
        <v>0</v>
      </c>
      <c r="G100" s="70"/>
      <c r="H100" s="72">
        <v>0</v>
      </c>
      <c r="I100" s="73">
        <v>1</v>
      </c>
      <c r="J100" s="74">
        <f t="shared" si="6"/>
        <v>0</v>
      </c>
      <c r="K100" s="75"/>
    </row>
    <row r="101" spans="1:11" s="18" customFormat="1" ht="15">
      <c r="A101" s="69" t="s">
        <v>28</v>
      </c>
      <c r="B101" s="70"/>
      <c r="C101" s="27"/>
      <c r="D101" s="48">
        <v>0</v>
      </c>
      <c r="E101" s="70"/>
      <c r="F101" s="71">
        <v>0</v>
      </c>
      <c r="G101" s="70"/>
      <c r="H101" s="72">
        <v>0</v>
      </c>
      <c r="I101" s="73">
        <v>1</v>
      </c>
      <c r="J101" s="74">
        <f t="shared" si="6"/>
        <v>0</v>
      </c>
      <c r="K101" s="75"/>
    </row>
    <row r="102" spans="1:11" s="18" customFormat="1" ht="15">
      <c r="A102" s="69" t="s">
        <v>28</v>
      </c>
      <c r="B102" s="70"/>
      <c r="C102" s="27"/>
      <c r="D102" s="48">
        <v>0</v>
      </c>
      <c r="E102" s="70"/>
      <c r="F102" s="71">
        <v>0</v>
      </c>
      <c r="G102" s="70"/>
      <c r="H102" s="72">
        <v>0</v>
      </c>
      <c r="I102" s="73">
        <v>1</v>
      </c>
      <c r="J102" s="74">
        <f t="shared" si="6"/>
        <v>0</v>
      </c>
      <c r="K102" s="75"/>
    </row>
    <row r="103" spans="1:26" s="18" customFormat="1" ht="15">
      <c r="A103" s="69" t="s">
        <v>28</v>
      </c>
      <c r="B103" s="70"/>
      <c r="C103" s="27"/>
      <c r="D103" s="48">
        <v>0</v>
      </c>
      <c r="E103" s="70"/>
      <c r="F103" s="71">
        <v>0</v>
      </c>
      <c r="G103" s="70"/>
      <c r="H103" s="72">
        <v>0</v>
      </c>
      <c r="I103" s="73">
        <v>1</v>
      </c>
      <c r="J103" s="74">
        <f t="shared" si="6"/>
        <v>0</v>
      </c>
      <c r="K103" s="75"/>
      <c r="L103" s="76" t="s">
        <v>0</v>
      </c>
      <c r="M103" s="17" t="s">
        <v>0</v>
      </c>
      <c r="N103" s="76" t="s">
        <v>0</v>
      </c>
      <c r="U103" s="17" t="s">
        <v>0</v>
      </c>
      <c r="Z103" s="19" t="s">
        <v>0</v>
      </c>
    </row>
    <row r="104" spans="1:26" s="18" customFormat="1" ht="15">
      <c r="A104" s="69" t="s">
        <v>28</v>
      </c>
      <c r="B104" s="70"/>
      <c r="C104" s="27"/>
      <c r="D104" s="48">
        <v>0</v>
      </c>
      <c r="E104" s="70"/>
      <c r="F104" s="71">
        <v>0</v>
      </c>
      <c r="G104" s="70"/>
      <c r="H104" s="72">
        <v>0</v>
      </c>
      <c r="I104" s="73">
        <v>1</v>
      </c>
      <c r="J104" s="74">
        <f t="shared" si="6"/>
        <v>0</v>
      </c>
      <c r="K104" s="75"/>
      <c r="M104" s="17" t="s">
        <v>0</v>
      </c>
      <c r="U104" s="17" t="s">
        <v>0</v>
      </c>
      <c r="Z104" s="19" t="s">
        <v>0</v>
      </c>
    </row>
    <row r="105" spans="1:26" s="18" customFormat="1" ht="12" customHeight="1">
      <c r="A105" s="77"/>
      <c r="B105" s="77"/>
      <c r="C105" s="77"/>
      <c r="D105" s="77"/>
      <c r="E105" s="77"/>
      <c r="F105" s="77"/>
      <c r="G105" s="77"/>
      <c r="H105" s="77"/>
      <c r="I105" s="77"/>
      <c r="J105" s="78"/>
      <c r="K105" s="75"/>
      <c r="M105" s="17" t="s">
        <v>0</v>
      </c>
      <c r="U105" s="17" t="s">
        <v>0</v>
      </c>
      <c r="Z105" s="19" t="s">
        <v>0</v>
      </c>
    </row>
    <row r="106" spans="1:26" s="18" customFormat="1" ht="15" thickBot="1">
      <c r="A106" s="41"/>
      <c r="B106" s="41"/>
      <c r="C106" s="79"/>
      <c r="D106" s="80"/>
      <c r="E106" s="41"/>
      <c r="F106" s="81" t="s">
        <v>12</v>
      </c>
      <c r="G106" s="82"/>
      <c r="H106" s="82"/>
      <c r="I106" s="83"/>
      <c r="J106" s="84">
        <f>SUM(J99:J104)</f>
        <v>0</v>
      </c>
      <c r="K106" s="75"/>
      <c r="M106" s="17" t="s">
        <v>0</v>
      </c>
      <c r="U106" s="17" t="s">
        <v>0</v>
      </c>
      <c r="Z106" s="19" t="s">
        <v>0</v>
      </c>
    </row>
    <row r="107" spans="1:26" s="18" customFormat="1" ht="15" thickTop="1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16"/>
      <c r="M107" s="17" t="s">
        <v>0</v>
      </c>
      <c r="U107" s="17" t="s">
        <v>0</v>
      </c>
      <c r="Z107" s="19" t="s">
        <v>0</v>
      </c>
    </row>
    <row r="108" spans="1:19" ht="15">
      <c r="A108" s="27" t="s">
        <v>70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10"/>
      <c r="O108" s="2"/>
      <c r="P108" s="3"/>
      <c r="Q108" s="3"/>
      <c r="R108" s="3"/>
      <c r="S108" s="3"/>
    </row>
    <row r="109" spans="1:26" ht="15">
      <c r="A109" s="27"/>
      <c r="B109" s="27"/>
      <c r="C109" s="27"/>
      <c r="D109" s="27"/>
      <c r="E109" s="37"/>
      <c r="F109" s="27"/>
      <c r="G109" s="27"/>
      <c r="H109" s="37"/>
      <c r="I109" s="27"/>
      <c r="J109" s="27"/>
      <c r="K109" s="10"/>
      <c r="O109" s="2"/>
      <c r="Z109" s="8" t="s">
        <v>0</v>
      </c>
    </row>
    <row r="110" spans="1:26" ht="1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10"/>
      <c r="M110" s="2" t="s">
        <v>0</v>
      </c>
      <c r="U110" s="2" t="s">
        <v>0</v>
      </c>
      <c r="Z110" s="8" t="s">
        <v>0</v>
      </c>
    </row>
    <row r="111" spans="1:21" ht="1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10"/>
      <c r="L111" s="5" t="s">
        <v>0</v>
      </c>
      <c r="M111" s="2" t="s">
        <v>0</v>
      </c>
      <c r="N111" s="5" t="s">
        <v>0</v>
      </c>
      <c r="U111" s="2" t="s">
        <v>0</v>
      </c>
    </row>
    <row r="112" spans="1:26" ht="15">
      <c r="A112" s="52"/>
      <c r="B112" s="34"/>
      <c r="C112" s="34"/>
      <c r="D112" s="36"/>
      <c r="E112" s="27"/>
      <c r="F112" s="50"/>
      <c r="G112" s="27"/>
      <c r="H112" s="37"/>
      <c r="I112" s="50"/>
      <c r="J112" s="64"/>
      <c r="K112" s="10"/>
      <c r="L112" s="5" t="s">
        <v>0</v>
      </c>
      <c r="M112" s="2" t="s">
        <v>0</v>
      </c>
      <c r="N112" s="5" t="s">
        <v>0</v>
      </c>
      <c r="U112" s="2" t="s">
        <v>0</v>
      </c>
      <c r="Z112" s="4" t="s">
        <v>0</v>
      </c>
    </row>
    <row r="113" spans="1:26" ht="15">
      <c r="A113" s="52"/>
      <c r="B113" s="34"/>
      <c r="C113" s="34"/>
      <c r="D113" s="36"/>
      <c r="E113" s="27"/>
      <c r="F113" s="50"/>
      <c r="G113" s="27"/>
      <c r="H113" s="37"/>
      <c r="I113" s="50"/>
      <c r="J113" s="64"/>
      <c r="K113" s="10"/>
      <c r="L113" s="5" t="s">
        <v>0</v>
      </c>
      <c r="M113" s="2" t="s">
        <v>0</v>
      </c>
      <c r="N113" s="5" t="s">
        <v>0</v>
      </c>
      <c r="U113" s="2" t="s">
        <v>0</v>
      </c>
      <c r="Z113" s="4" t="s">
        <v>0</v>
      </c>
    </row>
    <row r="114" spans="4:26" ht="15">
      <c r="D114" s="26"/>
      <c r="K114" s="12"/>
      <c r="L114" s="5" t="s">
        <v>0</v>
      </c>
      <c r="M114" s="2" t="s">
        <v>0</v>
      </c>
      <c r="N114" s="5" t="s">
        <v>0</v>
      </c>
      <c r="U114" s="2" t="s">
        <v>0</v>
      </c>
      <c r="Z114" s="8" t="s">
        <v>0</v>
      </c>
    </row>
    <row r="115" spans="4:26" ht="15" customHeight="1">
      <c r="D115" s="26"/>
      <c r="K115" s="12"/>
      <c r="L115" s="5"/>
      <c r="M115" s="2"/>
      <c r="N115" s="5"/>
      <c r="U115" s="2"/>
      <c r="Z115" s="8"/>
    </row>
    <row r="116" spans="4:26" ht="15" customHeight="1">
      <c r="D116" s="26"/>
      <c r="K116" s="12"/>
      <c r="L116" s="5"/>
      <c r="M116" s="2"/>
      <c r="N116" s="5"/>
      <c r="U116" s="2"/>
      <c r="Z116" s="8"/>
    </row>
    <row r="117" spans="4:26" ht="15" customHeight="1">
      <c r="D117" s="26"/>
      <c r="K117" s="12"/>
      <c r="L117" s="5" t="s">
        <v>0</v>
      </c>
      <c r="M117" s="2" t="s">
        <v>0</v>
      </c>
      <c r="N117" s="5" t="s">
        <v>0</v>
      </c>
      <c r="U117" s="2" t="s">
        <v>0</v>
      </c>
      <c r="Z117" s="8" t="s">
        <v>0</v>
      </c>
    </row>
    <row r="118" spans="4:26" ht="15" customHeight="1">
      <c r="D118" s="26"/>
      <c r="K118" s="12"/>
      <c r="M118" s="2" t="s">
        <v>0</v>
      </c>
      <c r="U118" s="2" t="s">
        <v>0</v>
      </c>
      <c r="Z118" s="8" t="s">
        <v>0</v>
      </c>
    </row>
    <row r="119" spans="1:24" s="18" customFormat="1" ht="15" thickBot="1">
      <c r="A119" s="86"/>
      <c r="B119" s="87"/>
      <c r="C119" s="87"/>
      <c r="D119" s="87"/>
      <c r="E119" s="88"/>
      <c r="F119" s="89"/>
      <c r="G119" s="88"/>
      <c r="H119" s="90"/>
      <c r="I119" s="90"/>
      <c r="J119" s="90"/>
      <c r="K119" s="11"/>
      <c r="L119" s="76"/>
      <c r="M119" s="76"/>
      <c r="N119" s="76"/>
      <c r="S119" s="17" t="s">
        <v>0</v>
      </c>
      <c r="X119" s="19" t="s">
        <v>0</v>
      </c>
    </row>
    <row r="120" spans="1:24" s="18" customFormat="1" ht="21" customHeight="1">
      <c r="A120" s="164" t="s">
        <v>37</v>
      </c>
      <c r="B120" s="162"/>
      <c r="C120" s="162"/>
      <c r="D120" s="162"/>
      <c r="E120" s="162"/>
      <c r="F120" s="162"/>
      <c r="G120" s="162"/>
      <c r="H120" s="162"/>
      <c r="I120" s="162"/>
      <c r="J120" s="162"/>
      <c r="K120" s="12"/>
      <c r="L120" s="76"/>
      <c r="S120" s="17"/>
      <c r="X120" s="19"/>
    </row>
    <row r="121" spans="1:24" s="18" customFormat="1" ht="15" customHeight="1">
      <c r="A121" s="164" t="s">
        <v>38</v>
      </c>
      <c r="B121" s="162"/>
      <c r="C121" s="162"/>
      <c r="D121" s="162"/>
      <c r="E121" s="162"/>
      <c r="F121" s="162"/>
      <c r="G121" s="162"/>
      <c r="H121" s="162"/>
      <c r="I121" s="162"/>
      <c r="J121" s="162"/>
      <c r="K121" s="12"/>
      <c r="L121" s="76"/>
      <c r="S121" s="17"/>
      <c r="X121" s="19"/>
    </row>
    <row r="122" spans="4:11" s="18" customFormat="1" ht="15">
      <c r="D122" s="26"/>
      <c r="F122" s="91"/>
      <c r="K122" s="12"/>
    </row>
    <row r="123" spans="4:26" ht="15">
      <c r="D123" s="26"/>
      <c r="K123" s="12"/>
      <c r="L123" s="5" t="s">
        <v>0</v>
      </c>
      <c r="M123" s="2" t="s">
        <v>0</v>
      </c>
      <c r="N123" s="5" t="s">
        <v>0</v>
      </c>
      <c r="U123" s="2" t="s">
        <v>0</v>
      </c>
      <c r="Z123" s="8" t="s">
        <v>0</v>
      </c>
    </row>
    <row r="124" spans="4:26" ht="15">
      <c r="D124" s="26"/>
      <c r="K124" s="12"/>
      <c r="L124" s="5" t="s">
        <v>0</v>
      </c>
      <c r="M124" s="2" t="s">
        <v>0</v>
      </c>
      <c r="N124" s="5" t="s">
        <v>0</v>
      </c>
      <c r="U124" s="2" t="s">
        <v>0</v>
      </c>
      <c r="Z124" s="8" t="s">
        <v>0</v>
      </c>
    </row>
    <row r="125" spans="4:26" ht="15">
      <c r="D125" s="26"/>
      <c r="K125" s="12"/>
      <c r="L125" s="5" t="s">
        <v>0</v>
      </c>
      <c r="M125" s="2" t="s">
        <v>0</v>
      </c>
      <c r="N125" s="5" t="s">
        <v>0</v>
      </c>
      <c r="U125" s="2" t="s">
        <v>0</v>
      </c>
      <c r="Z125" s="8" t="s">
        <v>0</v>
      </c>
    </row>
    <row r="126" spans="4:26" ht="15">
      <c r="D126" s="26"/>
      <c r="K126" s="12"/>
      <c r="L126" s="5" t="s">
        <v>0</v>
      </c>
      <c r="M126" s="2" t="s">
        <v>0</v>
      </c>
      <c r="N126" s="5" t="s">
        <v>0</v>
      </c>
      <c r="U126" s="2" t="s">
        <v>0</v>
      </c>
      <c r="Z126" s="8" t="s">
        <v>0</v>
      </c>
    </row>
    <row r="127" spans="4:21" ht="15">
      <c r="D127" s="26"/>
      <c r="K127" s="16"/>
      <c r="L127" s="5" t="s">
        <v>0</v>
      </c>
      <c r="M127" s="2" t="s">
        <v>0</v>
      </c>
      <c r="N127" s="5" t="s">
        <v>0</v>
      </c>
      <c r="U127" s="2" t="s">
        <v>0</v>
      </c>
    </row>
    <row r="128" spans="4:21" ht="15">
      <c r="D128" s="26"/>
      <c r="K128" s="10"/>
      <c r="L128" s="5" t="s">
        <v>0</v>
      </c>
      <c r="M128" s="2" t="s">
        <v>0</v>
      </c>
      <c r="N128" s="5" t="s">
        <v>0</v>
      </c>
      <c r="U128" s="2" t="s">
        <v>0</v>
      </c>
    </row>
    <row r="129" spans="4:21" ht="15">
      <c r="D129" s="26"/>
      <c r="L129" s="5" t="s">
        <v>0</v>
      </c>
      <c r="M129" s="2" t="s">
        <v>0</v>
      </c>
      <c r="N129" s="5" t="s">
        <v>0</v>
      </c>
      <c r="U129" s="2" t="s">
        <v>0</v>
      </c>
    </row>
    <row r="130" spans="1:21" ht="1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U130" s="2" t="s">
        <v>0</v>
      </c>
    </row>
    <row r="131" ht="15">
      <c r="D131" s="26"/>
    </row>
    <row r="132" ht="15">
      <c r="D132" s="26"/>
    </row>
    <row r="133" ht="15">
      <c r="D133" s="26"/>
    </row>
    <row r="134" ht="15">
      <c r="D134" s="26"/>
    </row>
    <row r="135" ht="15">
      <c r="D135" s="26"/>
    </row>
    <row r="152" ht="15">
      <c r="F152" s="15"/>
    </row>
    <row r="153" spans="1:10" ht="15">
      <c r="A153" s="2"/>
      <c r="B153" s="2"/>
      <c r="C153" s="2"/>
      <c r="D153" s="2"/>
      <c r="E153" s="2"/>
      <c r="G153" s="2"/>
      <c r="H153" s="2"/>
      <c r="I153" s="2"/>
      <c r="J153" s="2"/>
    </row>
    <row r="156" ht="15">
      <c r="F156" s="14"/>
    </row>
    <row r="157" spans="2:6" ht="15">
      <c r="B157" s="5"/>
      <c r="C157" s="5"/>
      <c r="D157" s="5"/>
      <c r="E157" s="5"/>
      <c r="F157" s="14"/>
    </row>
    <row r="158" spans="2:11" ht="15">
      <c r="B158" s="5"/>
      <c r="C158" s="5"/>
      <c r="D158" s="5"/>
      <c r="E158" s="5"/>
      <c r="F158" s="14"/>
      <c r="K158" s="5"/>
    </row>
    <row r="159" spans="2:6" ht="15">
      <c r="B159" s="5"/>
      <c r="C159" s="5"/>
      <c r="D159" s="5"/>
      <c r="E159" s="5"/>
      <c r="F159" s="14"/>
    </row>
    <row r="160" spans="2:6" ht="15">
      <c r="B160" s="5"/>
      <c r="C160" s="5"/>
      <c r="D160" s="5"/>
      <c r="E160" s="5"/>
      <c r="F160" s="14"/>
    </row>
    <row r="161" spans="2:16" ht="15">
      <c r="B161" s="5"/>
      <c r="C161" s="5"/>
      <c r="D161" s="5"/>
      <c r="E161" s="5"/>
      <c r="L161" s="9"/>
      <c r="N161" s="9"/>
      <c r="O161" s="3"/>
      <c r="P161" s="3"/>
    </row>
    <row r="162" spans="2:3" ht="15">
      <c r="B162" s="5"/>
      <c r="C162" s="5"/>
    </row>
    <row r="163" spans="2:17" ht="15">
      <c r="B163" s="5"/>
      <c r="C163" s="5"/>
      <c r="L163" s="3"/>
      <c r="M163" s="5"/>
      <c r="N163" s="3"/>
      <c r="O163" s="3"/>
      <c r="P163" s="3"/>
      <c r="Q163" s="6"/>
    </row>
    <row r="164" spans="2:16" ht="15">
      <c r="B164" s="5"/>
      <c r="C164" s="5"/>
      <c r="L164" s="3"/>
      <c r="M164" s="5"/>
      <c r="N164" s="3"/>
      <c r="O164" s="3"/>
      <c r="P164" s="3"/>
    </row>
    <row r="165" spans="2:16" ht="15">
      <c r="B165" s="5"/>
      <c r="C165" s="5"/>
      <c r="L165" s="3"/>
      <c r="M165" s="5"/>
      <c r="N165" s="3"/>
      <c r="O165" s="3"/>
      <c r="P165" s="3"/>
    </row>
    <row r="166" spans="2:16" ht="15">
      <c r="B166" s="5"/>
      <c r="C166" s="5"/>
      <c r="K166" s="5"/>
      <c r="L166" s="3"/>
      <c r="M166" s="5"/>
      <c r="N166" s="3"/>
      <c r="O166" s="3"/>
      <c r="P166" s="3"/>
    </row>
    <row r="167" spans="2:16" ht="15">
      <c r="B167" s="5"/>
      <c r="C167" s="5"/>
      <c r="L167" s="3"/>
      <c r="M167" s="5"/>
      <c r="N167" s="3"/>
      <c r="O167" s="3"/>
      <c r="P167" s="3"/>
    </row>
    <row r="168" spans="12:16" ht="15">
      <c r="L168" s="3"/>
      <c r="M168" s="5"/>
      <c r="N168" s="3"/>
      <c r="O168" s="3"/>
      <c r="P168" s="3"/>
    </row>
    <row r="169" spans="6:16" ht="15">
      <c r="F169" s="14"/>
      <c r="L169" s="3"/>
      <c r="M169" s="5"/>
      <c r="N169" s="3"/>
      <c r="O169" s="3"/>
      <c r="P169" s="3"/>
    </row>
    <row r="170" spans="1:5" ht="15">
      <c r="A170" s="5"/>
      <c r="B170" s="5"/>
      <c r="C170" s="5"/>
      <c r="D170" s="5"/>
      <c r="E170" s="5"/>
    </row>
    <row r="171" spans="2:16" ht="15">
      <c r="B171" s="5"/>
      <c r="C171" s="5"/>
      <c r="K171" s="5"/>
      <c r="L171" s="3"/>
      <c r="M171" s="5"/>
      <c r="N171" s="3"/>
      <c r="O171" s="3"/>
      <c r="P171" s="3"/>
    </row>
    <row r="172" spans="2:16" ht="15">
      <c r="B172" s="5"/>
      <c r="C172" s="5"/>
      <c r="L172" s="3"/>
      <c r="M172" s="5"/>
      <c r="N172" s="3"/>
      <c r="O172" s="3"/>
      <c r="P172" s="3"/>
    </row>
    <row r="173" spans="2:16" ht="15">
      <c r="B173" s="5"/>
      <c r="C173" s="5"/>
      <c r="L173" s="3"/>
      <c r="M173" s="5"/>
      <c r="N173" s="3"/>
      <c r="O173" s="3"/>
      <c r="P173" s="3"/>
    </row>
    <row r="174" spans="2:16" ht="15">
      <c r="B174" s="5"/>
      <c r="C174" s="5"/>
      <c r="L174" s="3"/>
      <c r="M174" s="5"/>
      <c r="N174" s="3"/>
      <c r="O174" s="3"/>
      <c r="P174" s="3"/>
    </row>
    <row r="175" spans="2:3" ht="15">
      <c r="B175" s="5"/>
      <c r="C175" s="5"/>
    </row>
    <row r="176" spans="2:16" ht="15">
      <c r="B176" s="5"/>
      <c r="C176" s="5"/>
      <c r="L176" s="3"/>
      <c r="M176" s="5"/>
      <c r="N176" s="3"/>
      <c r="O176" s="3"/>
      <c r="P176" s="3"/>
    </row>
    <row r="177" spans="2:16" ht="15">
      <c r="B177" s="5"/>
      <c r="C177" s="5"/>
      <c r="L177" s="3"/>
      <c r="M177" s="5"/>
      <c r="N177" s="3"/>
      <c r="O177" s="3"/>
      <c r="P177" s="3"/>
    </row>
    <row r="178" spans="2:16" ht="15">
      <c r="B178" s="5"/>
      <c r="C178" s="5"/>
      <c r="L178" s="3"/>
      <c r="M178" s="5"/>
      <c r="N178" s="3"/>
      <c r="O178" s="3"/>
      <c r="P178" s="3"/>
    </row>
    <row r="179" spans="2:3" ht="15">
      <c r="B179" s="5"/>
      <c r="C179" s="5"/>
    </row>
    <row r="180" spans="2:3" ht="15">
      <c r="B180" s="5"/>
      <c r="C180" s="5"/>
    </row>
    <row r="181" spans="2:3" ht="15">
      <c r="B181" s="5"/>
      <c r="C181" s="5"/>
    </row>
    <row r="182" spans="2:3" ht="15">
      <c r="B182" s="5"/>
      <c r="C182" s="5"/>
    </row>
    <row r="183" spans="2:3" ht="15">
      <c r="B183" s="5"/>
      <c r="C183" s="5"/>
    </row>
    <row r="184" spans="2:3" ht="15">
      <c r="B184" s="5"/>
      <c r="C184" s="5"/>
    </row>
    <row r="185" spans="2:3" ht="15">
      <c r="B185" s="5"/>
      <c r="C185" s="5"/>
    </row>
    <row r="186" spans="2:3" ht="15">
      <c r="B186" s="5"/>
      <c r="C186" s="5"/>
    </row>
    <row r="187" spans="2:3" ht="15">
      <c r="B187" s="5"/>
      <c r="C187" s="5"/>
    </row>
    <row r="188" spans="2:3" ht="15">
      <c r="B188" s="5"/>
      <c r="C188" s="5"/>
    </row>
    <row r="189" spans="2:3" ht="15">
      <c r="B189" s="5"/>
      <c r="C189" s="5"/>
    </row>
    <row r="190" spans="2:3" ht="15">
      <c r="B190" s="5"/>
      <c r="C190" s="5"/>
    </row>
    <row r="191" spans="2:3" ht="15">
      <c r="B191" s="5"/>
      <c r="C191" s="5"/>
    </row>
    <row r="192" spans="2:3" ht="15">
      <c r="B192" s="5"/>
      <c r="C192" s="5"/>
    </row>
    <row r="193" spans="2:3" ht="15">
      <c r="B193" s="5"/>
      <c r="C193" s="5"/>
    </row>
    <row r="194" spans="2:3" ht="15">
      <c r="B194" s="5"/>
      <c r="C194" s="5"/>
    </row>
    <row r="195" spans="2:3" ht="15">
      <c r="B195" s="5"/>
      <c r="C195" s="5"/>
    </row>
    <row r="196" spans="2:3" ht="15">
      <c r="B196" s="5"/>
      <c r="C196" s="5"/>
    </row>
    <row r="197" spans="2:3" ht="15">
      <c r="B197" s="5"/>
      <c r="C197" s="5"/>
    </row>
    <row r="198" spans="2:3" ht="15">
      <c r="B198" s="5"/>
      <c r="C198" s="5"/>
    </row>
    <row r="199" spans="2:3" ht="15">
      <c r="B199" s="5"/>
      <c r="C199" s="5"/>
    </row>
    <row r="200" spans="2:3" ht="15">
      <c r="B200" s="5"/>
      <c r="C200" s="5"/>
    </row>
    <row r="201" spans="2:3" ht="15">
      <c r="B201" s="5"/>
      <c r="C201" s="5"/>
    </row>
    <row r="202" spans="2:3" ht="15">
      <c r="B202" s="5"/>
      <c r="C202" s="5"/>
    </row>
    <row r="203" spans="2:3" ht="15">
      <c r="B203" s="5"/>
      <c r="C203" s="5"/>
    </row>
    <row r="204" spans="2:3" ht="15">
      <c r="B204" s="5"/>
      <c r="C204" s="5"/>
    </row>
    <row r="205" spans="2:3" ht="15">
      <c r="B205" s="5"/>
      <c r="C205" s="5"/>
    </row>
    <row r="206" spans="2:3" ht="15">
      <c r="B206" s="5"/>
      <c r="C206" s="5"/>
    </row>
    <row r="207" spans="2:3" ht="15">
      <c r="B207" s="5"/>
      <c r="C207" s="5"/>
    </row>
    <row r="208" spans="2:3" ht="15">
      <c r="B208" s="5"/>
      <c r="C208" s="5"/>
    </row>
    <row r="209" spans="2:3" ht="15">
      <c r="B209" s="5"/>
      <c r="C209" s="5"/>
    </row>
    <row r="210" spans="2:3" ht="15">
      <c r="B210" s="5"/>
      <c r="C210" s="5"/>
    </row>
    <row r="211" spans="2:3" ht="15">
      <c r="B211" s="5"/>
      <c r="C211" s="5"/>
    </row>
    <row r="212" spans="2:3" ht="15">
      <c r="B212" s="5"/>
      <c r="C212" s="5"/>
    </row>
    <row r="213" spans="2:3" ht="15">
      <c r="B213" s="5"/>
      <c r="C213" s="5"/>
    </row>
    <row r="214" spans="2:3" ht="15">
      <c r="B214" s="5"/>
      <c r="C214" s="5"/>
    </row>
    <row r="215" spans="2:3" ht="15">
      <c r="B215" s="5"/>
      <c r="C215" s="5"/>
    </row>
    <row r="216" spans="2:3" ht="15">
      <c r="B216" s="5"/>
      <c r="C216" s="5"/>
    </row>
    <row r="217" spans="2:3" ht="15">
      <c r="B217" s="5"/>
      <c r="C217" s="5"/>
    </row>
    <row r="218" spans="2:3" ht="15">
      <c r="B218" s="5"/>
      <c r="C218" s="5"/>
    </row>
    <row r="219" spans="2:3" ht="15">
      <c r="B219" s="5"/>
      <c r="C219" s="5"/>
    </row>
    <row r="220" spans="2:3" ht="15">
      <c r="B220" s="5"/>
      <c r="C220" s="5"/>
    </row>
    <row r="221" spans="2:3" ht="15">
      <c r="B221" s="5"/>
      <c r="C221" s="5"/>
    </row>
    <row r="222" spans="2:3" ht="15">
      <c r="B222" s="5"/>
      <c r="C222" s="5"/>
    </row>
    <row r="223" spans="2:3" ht="15">
      <c r="B223" s="5"/>
      <c r="C223" s="5"/>
    </row>
    <row r="224" spans="2:3" ht="15">
      <c r="B224" s="5"/>
      <c r="C224" s="5"/>
    </row>
    <row r="225" spans="2:3" ht="15">
      <c r="B225" s="5"/>
      <c r="C225" s="5"/>
    </row>
    <row r="226" spans="2:3" ht="15">
      <c r="B226" s="5"/>
      <c r="C226" s="5"/>
    </row>
    <row r="227" spans="2:3" ht="15">
      <c r="B227" s="5"/>
      <c r="C227" s="5"/>
    </row>
    <row r="228" spans="2:3" ht="15">
      <c r="B228" s="5"/>
      <c r="C228" s="5"/>
    </row>
    <row r="229" spans="2:3" ht="15">
      <c r="B229" s="5"/>
      <c r="C229" s="5"/>
    </row>
    <row r="230" spans="2:3" ht="15">
      <c r="B230" s="5"/>
      <c r="C230" s="5"/>
    </row>
  </sheetData>
  <sheetProtection/>
  <mergeCells count="13">
    <mergeCell ref="A121:J121"/>
    <mergeCell ref="A120:J120"/>
    <mergeCell ref="A56:J56"/>
    <mergeCell ref="A64:B64"/>
    <mergeCell ref="D64:J64"/>
    <mergeCell ref="D66:J66"/>
    <mergeCell ref="A62:F62"/>
    <mergeCell ref="C30:D30"/>
    <mergeCell ref="C31:D31"/>
    <mergeCell ref="C32:D32"/>
    <mergeCell ref="A42:B42"/>
    <mergeCell ref="A44:B44"/>
    <mergeCell ref="A45:B45"/>
  </mergeCells>
  <printOptions horizontalCentered="1"/>
  <pageMargins left="1" right="1" top="0.5" bottom="0" header="0.5" footer="0.5"/>
  <pageSetup fitToHeight="2" fitToWidth="1" horizontalDpi="1200" verticalDpi="1200" orientation="portrait" scale="72" r:id="rId4"/>
  <rowBreaks count="1" manualBreakCount="1">
    <brk id="60" max="9" man="1"/>
  </rowBreaks>
  <ignoredErrors>
    <ignoredError sqref="I43 H47" formula="1"/>
    <ignoredError sqref="F47 C47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Dairy Budget</dc:title>
  <dc:subject>Livestock Budget</dc:subject>
  <dc:creator>Eric Eberly</dc:creator>
  <cp:keywords/>
  <dc:description/>
  <cp:lastModifiedBy>Laura</cp:lastModifiedBy>
  <cp:lastPrinted>2008-08-12T21:39:12Z</cp:lastPrinted>
  <dcterms:created xsi:type="dcterms:W3CDTF">1999-09-14T15:50:48Z</dcterms:created>
  <dcterms:modified xsi:type="dcterms:W3CDTF">2017-03-09T21:58:39Z</dcterms:modified>
  <cp:category/>
  <cp:version/>
  <cp:contentType/>
  <cp:contentStatus/>
</cp:coreProperties>
</file>