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88" activeTab="0"/>
  </bookViews>
  <sheets>
    <sheet name="Survey Sizes" sheetId="1" r:id="rId1"/>
    <sheet name="Comparison Sizing" sheetId="2" r:id="rId2"/>
    <sheet name="Comparison Costs" sheetId="3" r:id="rId3"/>
    <sheet name="Sensitivity" sheetId="4" r:id="rId4"/>
    <sheet name="Input Data" sheetId="5" r:id="rId5"/>
  </sheets>
  <definedNames>
    <definedName name="Chart">'Survey Sizes'!$A$9:$C$11</definedName>
    <definedName name="chart2">'Input Data'!$A$3:$C$8</definedName>
    <definedName name="chart3">'Input Data'!$E$3:$G$8</definedName>
    <definedName name="chart4">'Input Data'!$I$3:$K$8</definedName>
    <definedName name="TimeChart">'Sensitivity'!$A$16:$C$18</definedName>
  </definedNames>
  <calcPr fullCalcOnLoad="1"/>
</workbook>
</file>

<file path=xl/sharedStrings.xml><?xml version="1.0" encoding="utf-8"?>
<sst xmlns="http://schemas.openxmlformats.org/spreadsheetml/2006/main" count="381" uniqueCount="141">
  <si>
    <t>Parlor Choice</t>
  </si>
  <si>
    <t>Cows to milk (optional):</t>
  </si>
  <si>
    <t>Total hours per day to milk:</t>
  </si>
  <si>
    <t>Times milked per day:</t>
  </si>
  <si>
    <t>Cows</t>
  </si>
  <si>
    <t>Number</t>
  </si>
  <si>
    <t>Actual</t>
  </si>
  <si>
    <t>Parlor Size</t>
  </si>
  <si>
    <t>MaxCows</t>
  </si>
  <si>
    <t>per Group</t>
  </si>
  <si>
    <t>of Groups</t>
  </si>
  <si>
    <t>Hours</t>
  </si>
  <si>
    <t>Times</t>
  </si>
  <si>
    <t xml:space="preserve">Minutes </t>
  </si>
  <si>
    <t>(stalls/side)</t>
  </si>
  <si>
    <t>Milked</t>
  </si>
  <si>
    <t>Milked/hr</t>
  </si>
  <si>
    <t>(mult of stalls)</t>
  </si>
  <si>
    <t>(fit holding)</t>
  </si>
  <si>
    <t>per Milking</t>
  </si>
  <si>
    <t>Turns</t>
  </si>
  <si>
    <t xml:space="preserve">in Holding </t>
  </si>
  <si>
    <t>Per Day</t>
  </si>
  <si>
    <t>Per Hour</t>
  </si>
  <si>
    <t>Pen</t>
  </si>
  <si>
    <t>Characteristics for maximum herd size</t>
  </si>
  <si>
    <t>Hours per Milking:</t>
  </si>
  <si>
    <t>Total turns per milking:</t>
  </si>
  <si>
    <t>Min. groups (for holding pen):</t>
  </si>
  <si>
    <t>Parlor Sizing and Cost Estimation</t>
  </si>
  <si>
    <t xml:space="preserve"> </t>
  </si>
  <si>
    <t>Alternative 1</t>
  </si>
  <si>
    <t>Alternative 2</t>
  </si>
  <si>
    <t>Alternative 3</t>
  </si>
  <si>
    <t>Approx. number cows in milk:</t>
  </si>
  <si>
    <t>Clean-up hours per day:</t>
  </si>
  <si>
    <t>Turns per Hour:</t>
  </si>
  <si>
    <t>Minimum min. in holding pen:</t>
  </si>
  <si>
    <t>Maximum turns per milking:</t>
  </si>
  <si>
    <t>Number of stalls:</t>
  </si>
  <si>
    <t>Parlor designation:</t>
  </si>
  <si>
    <t>Maximum cows in milk:</t>
  </si>
  <si>
    <t>Functional number:</t>
  </si>
  <si>
    <t>Actual turns per milking:</t>
  </si>
  <si>
    <t>No. of groups:</t>
  </si>
  <si>
    <t>even and / by</t>
  </si>
  <si>
    <t>/ by</t>
  </si>
  <si>
    <t>size=</t>
  </si>
  <si>
    <t>Performance Summary</t>
  </si>
  <si>
    <t>Final cows in milk:</t>
  </si>
  <si>
    <t>Total cows in herd (w/dry):</t>
  </si>
  <si>
    <t>Final hours per day:</t>
  </si>
  <si>
    <t>Final hours per milking:</t>
  </si>
  <si>
    <t>Cows milked per hour:</t>
  </si>
  <si>
    <t>Cows milked per hour/worker:</t>
  </si>
  <si>
    <t>Estimated Costs and Efficiencies</t>
  </si>
  <si>
    <t>x desired components</t>
  </si>
  <si>
    <t>¯</t>
  </si>
  <si>
    <t>Buildings</t>
  </si>
  <si>
    <t>x</t>
  </si>
  <si>
    <t>Equipment</t>
  </si>
  <si>
    <t>Bulk Tank (g)</t>
  </si>
  <si>
    <t>Rapid Exit</t>
  </si>
  <si>
    <t>Crowd Gate</t>
  </si>
  <si>
    <t>Pre-cooling</t>
  </si>
  <si>
    <t>Instant-cooling (for tanker)</t>
  </si>
  <si>
    <t>Individual Electronic Meters</t>
  </si>
  <si>
    <t>Annual Costs</t>
  </si>
  <si>
    <t>Non-Equipment</t>
  </si>
  <si>
    <t xml:space="preserve">  Price</t>
  </si>
  <si>
    <t xml:space="preserve">  Salvage</t>
  </si>
  <si>
    <t xml:space="preserve">  Maintenance</t>
  </si>
  <si>
    <t xml:space="preserve">  Taxes/Insur.</t>
  </si>
  <si>
    <t>Total Non-Equipment</t>
  </si>
  <si>
    <t>Total Equipment</t>
  </si>
  <si>
    <t>Total Annual Cost</t>
  </si>
  <si>
    <t>Annual Labor</t>
  </si>
  <si>
    <t>Hours:</t>
  </si>
  <si>
    <t>Cost Summary 1</t>
  </si>
  <si>
    <t>Cost Summary 2</t>
  </si>
  <si>
    <t>Cost Summary 3</t>
  </si>
  <si>
    <t>Milk</t>
  </si>
  <si>
    <t>Lbs/d/cow</t>
  </si>
  <si>
    <t>Cwt/yr</t>
  </si>
  <si>
    <t>Herd Summary</t>
  </si>
  <si>
    <t>Cows in Milk</t>
  </si>
  <si>
    <t>Milking Stalls</t>
  </si>
  <si>
    <t>Investment</t>
  </si>
  <si>
    <t>Total</t>
  </si>
  <si>
    <t>Per Cow</t>
  </si>
  <si>
    <t>Per Stall</t>
  </si>
  <si>
    <t>Parlor and Equipment</t>
  </si>
  <si>
    <t>Annual</t>
  </si>
  <si>
    <t>Per Cwt</t>
  </si>
  <si>
    <t>Milking Labor</t>
  </si>
  <si>
    <t>Parlor and Milking Operations</t>
  </si>
  <si>
    <t>Milking Times</t>
  </si>
  <si>
    <t>Parlor Size:               D -</t>
  </si>
  <si>
    <t>(Herd Size)</t>
  </si>
  <si>
    <t xml:space="preserve">Daily </t>
  </si>
  <si>
    <t>Milking</t>
  </si>
  <si>
    <t>Annual Cost of Parlor:</t>
  </si>
  <si>
    <t xml:space="preserve">Milked </t>
  </si>
  <si>
    <t>Hours per</t>
  </si>
  <si>
    <t>Turns per</t>
  </si>
  <si>
    <t>Cows per</t>
  </si>
  <si>
    <t>Parlor+Employee</t>
  </si>
  <si>
    <t>Cost per</t>
  </si>
  <si>
    <t>per Day</t>
  </si>
  <si>
    <t>Payroll</t>
  </si>
  <si>
    <t>Cost/Cow</t>
  </si>
  <si>
    <t>CWT Milk</t>
  </si>
  <si>
    <t>Setup/Cleanup (hrs/day):</t>
  </si>
  <si>
    <t>Employees in parlor:</t>
  </si>
  <si>
    <t>Milk per cow (lbs/day):</t>
  </si>
  <si>
    <t>Employee pay ($/hr):</t>
  </si>
  <si>
    <t>Cows milked per employ/hr:</t>
  </si>
  <si>
    <t>Percent cows in milk:</t>
  </si>
  <si>
    <t>Number of milkers:</t>
  </si>
  <si>
    <t>Suggested number:</t>
  </si>
  <si>
    <t>Buildings / stall</t>
  </si>
  <si>
    <t>Equipment / stall</t>
  </si>
  <si>
    <t>Bulk Tank</t>
  </si>
  <si>
    <t>Base</t>
  </si>
  <si>
    <t>+</t>
  </si>
  <si>
    <t>Per Gallon</t>
  </si>
  <si>
    <t>Instant-cooling</t>
  </si>
  <si>
    <t>Indiv Electr Meters</t>
  </si>
  <si>
    <t>Discount Rate (%)</t>
  </si>
  <si>
    <t>Life of Bldgs (yr)</t>
  </si>
  <si>
    <t>Bldg decl. bal (0,1,2)</t>
  </si>
  <si>
    <t>Bldg Maint. (%/yr)</t>
  </si>
  <si>
    <t>Bldg Tax/Insur (%/yr)</t>
  </si>
  <si>
    <t>Life of Equip (yr)</t>
  </si>
  <si>
    <t>Equip decl. bal (0,1,2)</t>
  </si>
  <si>
    <t>Equip Maint. (%/yr)</t>
  </si>
  <si>
    <t>Equip Tax/Insur (%/yr)</t>
  </si>
  <si>
    <t>Milk (lbs/d per cow)</t>
  </si>
  <si>
    <t>Bulk Tank (lbs/d/cow)</t>
  </si>
  <si>
    <t>Employees ($/hr)</t>
  </si>
  <si>
    <t xml:space="preserve"> hours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</si>
</sst>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_(* #,##0_);_(* \(#,##0\);_(* &quot;-&quot;?_);_(@_)"/>
    <numFmt numFmtId="175" formatCode="_(* #,##0.00_);_(* \(#,##0.00\);_(* &quot;-&quot;?_);_(@_)"/>
    <numFmt numFmtId="176" formatCode="#,##0.0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$&quot;#,##0.0_);[Red]\(&quot;$&quot;#,##0.0\)"/>
  </numFmts>
  <fonts count="53">
    <font>
      <sz val="10"/>
      <name val="Arial"/>
      <family val="0"/>
    </font>
    <font>
      <sz val="10"/>
      <color indexed="12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name val="Symbol"/>
      <family val="1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b/>
      <sz val="12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0" fillId="0" borderId="1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42" applyNumberFormat="1" applyFont="1" applyBorder="1" applyAlignment="1">
      <alignment/>
    </xf>
    <xf numFmtId="0" fontId="0" fillId="0" borderId="18" xfId="0" applyBorder="1" applyAlignment="1">
      <alignment/>
    </xf>
    <xf numFmtId="172" fontId="0" fillId="0" borderId="18" xfId="42" applyNumberFormat="1" applyFont="1" applyBorder="1" applyAlignment="1">
      <alignment/>
    </xf>
    <xf numFmtId="172" fontId="10" fillId="0" borderId="0" xfId="42" applyNumberFormat="1" applyFont="1" applyAlignment="1">
      <alignment/>
    </xf>
    <xf numFmtId="172" fontId="0" fillId="0" borderId="10" xfId="0" applyNumberFormat="1" applyBorder="1" applyAlignment="1">
      <alignment/>
    </xf>
    <xf numFmtId="43" fontId="0" fillId="0" borderId="0" xfId="42" applyFont="1" applyBorder="1" applyAlignment="1">
      <alignment/>
    </xf>
    <xf numFmtId="0" fontId="0" fillId="0" borderId="10" xfId="0" applyFill="1" applyBorder="1" applyAlignment="1">
      <alignment horizontal="right"/>
    </xf>
    <xf numFmtId="0" fontId="12" fillId="0" borderId="0" xfId="0" applyFont="1" applyAlignment="1">
      <alignment/>
    </xf>
    <xf numFmtId="0" fontId="8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 horizontal="right"/>
    </xf>
    <xf numFmtId="172" fontId="0" fillId="0" borderId="18" xfId="0" applyNumberFormat="1" applyBorder="1" applyAlignment="1">
      <alignment/>
    </xf>
    <xf numFmtId="0" fontId="0" fillId="0" borderId="20" xfId="0" applyBorder="1" applyAlignment="1">
      <alignment horizontal="righ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right"/>
    </xf>
    <xf numFmtId="0" fontId="8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right"/>
    </xf>
    <xf numFmtId="43" fontId="0" fillId="0" borderId="23" xfId="42" applyFont="1" applyBorder="1" applyAlignment="1">
      <alignment/>
    </xf>
    <xf numFmtId="43" fontId="0" fillId="0" borderId="28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25" xfId="42" applyFont="1" applyBorder="1" applyAlignment="1">
      <alignment/>
    </xf>
    <xf numFmtId="0" fontId="0" fillId="0" borderId="0" xfId="0" applyFont="1" applyBorder="1" applyAlignment="1">
      <alignment/>
    </xf>
    <xf numFmtId="174" fontId="0" fillId="0" borderId="2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19" xfId="0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174" fontId="0" fillId="0" borderId="0" xfId="0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73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172" fontId="0" fillId="0" borderId="0" xfId="0" applyNumberFormat="1" applyFont="1" applyBorder="1" applyAlignment="1">
      <alignment/>
    </xf>
    <xf numFmtId="0" fontId="9" fillId="0" borderId="23" xfId="0" applyFont="1" applyBorder="1" applyAlignment="1">
      <alignment horizontal="left"/>
    </xf>
    <xf numFmtId="172" fontId="0" fillId="0" borderId="24" xfId="0" applyNumberFormat="1" applyFont="1" applyBorder="1" applyAlignment="1">
      <alignment/>
    </xf>
    <xf numFmtId="0" fontId="0" fillId="0" borderId="18" xfId="0" applyFont="1" applyBorder="1" applyAlignment="1">
      <alignment horizontal="right"/>
    </xf>
    <xf numFmtId="173" fontId="0" fillId="0" borderId="18" xfId="0" applyNumberFormat="1" applyFont="1" applyBorder="1" applyAlignment="1">
      <alignment/>
    </xf>
    <xf numFmtId="0" fontId="9" fillId="0" borderId="25" xfId="0" applyFont="1" applyBorder="1" applyAlignment="1">
      <alignment horizontal="lef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0" xfId="0" applyFont="1" applyBorder="1" applyAlignment="1">
      <alignment horizontal="right"/>
    </xf>
    <xf numFmtId="0" fontId="0" fillId="0" borderId="31" xfId="0" applyBorder="1" applyAlignment="1">
      <alignment/>
    </xf>
    <xf numFmtId="172" fontId="1" fillId="0" borderId="20" xfId="42" applyNumberFormat="1" applyFont="1" applyBorder="1" applyAlignment="1">
      <alignment/>
    </xf>
    <xf numFmtId="171" fontId="1" fillId="0" borderId="0" xfId="42" applyNumberFormat="1" applyFont="1" applyBorder="1" applyAlignment="1">
      <alignment/>
    </xf>
    <xf numFmtId="172" fontId="1" fillId="0" borderId="0" xfId="42" applyNumberFormat="1" applyFont="1" applyBorder="1" applyAlignment="1">
      <alignment/>
    </xf>
    <xf numFmtId="171" fontId="0" fillId="0" borderId="0" xfId="42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172" fontId="1" fillId="0" borderId="13" xfId="42" applyNumberFormat="1" applyFont="1" applyBorder="1" applyAlignment="1">
      <alignment/>
    </xf>
    <xf numFmtId="172" fontId="1" fillId="0" borderId="15" xfId="42" applyNumberFormat="1" applyFont="1" applyBorder="1" applyAlignment="1">
      <alignment/>
    </xf>
    <xf numFmtId="0" fontId="0" fillId="0" borderId="14" xfId="0" applyBorder="1" applyAlignment="1" quotePrefix="1">
      <alignment horizontal="right"/>
    </xf>
    <xf numFmtId="0" fontId="0" fillId="0" borderId="16" xfId="0" applyBorder="1" applyAlignment="1" quotePrefix="1">
      <alignment horizontal="right"/>
    </xf>
    <xf numFmtId="172" fontId="1" fillId="0" borderId="17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171" fontId="1" fillId="0" borderId="17" xfId="42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3" fontId="1" fillId="0" borderId="34" xfId="42" applyNumberFormat="1" applyFont="1" applyBorder="1" applyAlignment="1">
      <alignment/>
    </xf>
    <xf numFmtId="0" fontId="0" fillId="0" borderId="15" xfId="0" applyBorder="1" applyAlignment="1">
      <alignment/>
    </xf>
    <xf numFmtId="43" fontId="1" fillId="0" borderId="17" xfId="42" applyFont="1" applyBorder="1" applyAlignment="1">
      <alignment/>
    </xf>
    <xf numFmtId="172" fontId="1" fillId="0" borderId="35" xfId="42" applyNumberFormat="1" applyFont="1" applyBorder="1" applyAlignment="1">
      <alignment/>
    </xf>
    <xf numFmtId="170" fontId="0" fillId="0" borderId="13" xfId="0" applyNumberFormat="1" applyBorder="1" applyAlignment="1">
      <alignment/>
    </xf>
    <xf numFmtId="170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172" fontId="0" fillId="0" borderId="2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 horizontal="right"/>
    </xf>
    <xf numFmtId="43" fontId="0" fillId="0" borderId="37" xfId="42" applyFont="1" applyBorder="1" applyAlignment="1">
      <alignment/>
    </xf>
    <xf numFmtId="43" fontId="0" fillId="0" borderId="38" xfId="42" applyFont="1" applyBorder="1" applyAlignment="1">
      <alignment/>
    </xf>
    <xf numFmtId="0" fontId="0" fillId="0" borderId="38" xfId="0" applyBorder="1" applyAlignment="1">
      <alignment/>
    </xf>
    <xf numFmtId="172" fontId="1" fillId="0" borderId="21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2" fontId="1" fillId="0" borderId="23" xfId="42" applyNumberFormat="1" applyFont="1" applyBorder="1" applyAlignment="1">
      <alignment/>
    </xf>
    <xf numFmtId="171" fontId="0" fillId="0" borderId="23" xfId="42" applyNumberFormat="1" applyFont="1" applyBorder="1" applyAlignment="1">
      <alignment/>
    </xf>
    <xf numFmtId="172" fontId="0" fillId="0" borderId="23" xfId="42" applyNumberFormat="1" applyFont="1" applyBorder="1" applyAlignment="1">
      <alignment/>
    </xf>
    <xf numFmtId="43" fontId="0" fillId="0" borderId="24" xfId="0" applyNumberFormat="1" applyBorder="1" applyAlignment="1">
      <alignment/>
    </xf>
    <xf numFmtId="0" fontId="0" fillId="0" borderId="29" xfId="0" applyBorder="1" applyAlignment="1">
      <alignment/>
    </xf>
    <xf numFmtId="0" fontId="8" fillId="0" borderId="31" xfId="0" applyFont="1" applyBorder="1" applyAlignment="1">
      <alignment horizontal="right"/>
    </xf>
    <xf numFmtId="0" fontId="8" fillId="0" borderId="22" xfId="0" applyFont="1" applyBorder="1" applyAlignment="1">
      <alignment/>
    </xf>
    <xf numFmtId="0" fontId="0" fillId="0" borderId="22" xfId="0" applyFont="1" applyBorder="1" applyAlignment="1" quotePrefix="1">
      <alignment horizontal="right"/>
    </xf>
    <xf numFmtId="174" fontId="0" fillId="0" borderId="21" xfId="0" applyNumberFormat="1" applyFont="1" applyBorder="1" applyAlignment="1">
      <alignment/>
    </xf>
    <xf numFmtId="174" fontId="0" fillId="0" borderId="2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 quotePrefix="1">
      <alignment/>
    </xf>
    <xf numFmtId="0" fontId="13" fillId="0" borderId="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43" fontId="0" fillId="0" borderId="39" xfId="42" applyFont="1" applyBorder="1" applyAlignment="1">
      <alignment/>
    </xf>
    <xf numFmtId="170" fontId="1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14" fillId="0" borderId="0" xfId="0" applyFont="1" applyAlignment="1">
      <alignment horizontal="left"/>
    </xf>
    <xf numFmtId="0" fontId="0" fillId="0" borderId="16" xfId="0" applyFill="1" applyBorder="1" applyAlignment="1">
      <alignment/>
    </xf>
    <xf numFmtId="170" fontId="0" fillId="0" borderId="0" xfId="0" applyNumberFormat="1" applyBorder="1" applyAlignment="1">
      <alignment/>
    </xf>
    <xf numFmtId="172" fontId="14" fillId="0" borderId="0" xfId="42" applyNumberFormat="1" applyFont="1" applyAlignment="1">
      <alignment horizontal="left"/>
    </xf>
    <xf numFmtId="172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40" xfId="42" applyNumberFormat="1" applyFont="1" applyFill="1" applyBorder="1" applyAlignment="1">
      <alignment/>
    </xf>
    <xf numFmtId="172" fontId="0" fillId="0" borderId="41" xfId="42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0" fontId="6" fillId="0" borderId="0" xfId="0" applyFont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3" xfId="0" applyBorder="1" applyAlignment="1">
      <alignment/>
    </xf>
    <xf numFmtId="1" fontId="0" fillId="0" borderId="17" xfId="0" applyNumberFormat="1" applyBorder="1" applyAlignment="1">
      <alignment/>
    </xf>
    <xf numFmtId="172" fontId="0" fillId="0" borderId="16" xfId="42" applyNumberFormat="1" applyFont="1" applyBorder="1" applyAlignment="1">
      <alignment/>
    </xf>
    <xf numFmtId="17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Milking Annual Cost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68"/>
          <c:w val="0.66725"/>
          <c:h val="0.71825"/>
        </c:manualLayout>
      </c:layout>
      <c:barChart>
        <c:barDir val="col"/>
        <c:grouping val="stacked"/>
        <c:varyColors val="0"/>
        <c:ser>
          <c:idx val="0"/>
          <c:order val="0"/>
          <c:tx>
            <c:v>Milking Facilities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('Comparison Costs'!$N$59,'Comparison Costs'!$G$59,'Comparison Costs'!$U$59)</c:f>
              <c:strCache/>
            </c:strRef>
          </c:cat>
          <c:val>
            <c:numRef>
              <c:f>('Comparison Costs'!$K$54,'Comparison Costs'!$D$54,'Comparison Costs'!$R$54)</c:f>
              <c:numCache/>
            </c:numRef>
          </c:val>
        </c:ser>
        <c:ser>
          <c:idx val="1"/>
          <c:order val="1"/>
          <c:tx>
            <c:v>Milking Labor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('Comparison Costs'!$N$59,'Comparison Costs'!$G$59,'Comparison Costs'!$U$59)</c:f>
              <c:strCache/>
            </c:strRef>
          </c:cat>
          <c:val>
            <c:numRef>
              <c:f>('Comparison Costs'!$K$56,'Comparison Costs'!$D$56,'Comparison Costs'!$R$56)</c:f>
              <c:numCache/>
            </c:numRef>
          </c:val>
        </c:ser>
        <c:overlap val="100"/>
        <c:axId val="30285275"/>
        <c:axId val="4132020"/>
      </c:barChart>
      <c:catAx>
        <c:axId val="30285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Parlor Size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Year</a:t>
                </a:r>
              </a:p>
            </c:rich>
          </c:tx>
          <c:layout>
            <c:manualLayout>
              <c:xMode val="factor"/>
              <c:yMode val="factor"/>
              <c:x val="-0.042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85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5"/>
          <c:y val="0.4255"/>
          <c:w val="0.23875"/>
          <c:h val="0.1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Milking Cost ($/cwt)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675"/>
          <c:w val="0.66375"/>
          <c:h val="0.719"/>
        </c:manualLayout>
      </c:layout>
      <c:barChart>
        <c:barDir val="col"/>
        <c:grouping val="stacked"/>
        <c:varyColors val="0"/>
        <c:ser>
          <c:idx val="0"/>
          <c:order val="0"/>
          <c:tx>
            <c:v>Milking Facilities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('Comparison Costs'!$N$59,'Comparison Costs'!$G$59,'Comparison Costs'!$U$59)</c:f>
              <c:strCache/>
            </c:strRef>
          </c:cat>
          <c:val>
            <c:numRef>
              <c:f>('Comparison Costs'!$N$54,'Comparison Costs'!$G$54,'Comparison Costs'!$U$54)</c:f>
              <c:numCache/>
            </c:numRef>
          </c:val>
        </c:ser>
        <c:ser>
          <c:idx val="1"/>
          <c:order val="1"/>
          <c:tx>
            <c:v>Milking Labor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('Comparison Costs'!$N$59,'Comparison Costs'!$G$59,'Comparison Costs'!$U$59)</c:f>
              <c:strCache/>
            </c:strRef>
          </c:cat>
          <c:val>
            <c:numRef>
              <c:f>('Comparison Costs'!$N$56,'Comparison Costs'!$G$56,'Comparison Costs'!$U$56)</c:f>
              <c:numCache/>
            </c:numRef>
          </c:val>
        </c:ser>
        <c:overlap val="100"/>
        <c:axId val="37188181"/>
        <c:axId val="66258174"/>
      </c:barChart>
      <c:catAx>
        <c:axId val="3718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Parlor Size</a:t>
                </a:r>
              </a:p>
            </c:rich>
          </c:tx>
          <c:layout>
            <c:manualLayout>
              <c:xMode val="factor"/>
              <c:yMode val="factor"/>
              <c:x val="-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per Cwt Milk</a:t>
                </a:r>
              </a:p>
            </c:rich>
          </c:tx>
          <c:layout>
            <c:manualLayout>
              <c:xMode val="factor"/>
              <c:yMode val="factor"/>
              <c:x val="-0.026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188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42425"/>
          <c:w val="0.2415"/>
          <c:h val="0.1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61</xdr:row>
      <xdr:rowOff>0</xdr:rowOff>
    </xdr:from>
    <xdr:to>
      <xdr:col>10</xdr:col>
      <xdr:colOff>628650</xdr:colOff>
      <xdr:row>78</xdr:row>
      <xdr:rowOff>57150</xdr:rowOff>
    </xdr:to>
    <xdr:graphicFrame>
      <xdr:nvGraphicFramePr>
        <xdr:cNvPr id="1" name="Chart 1"/>
        <xdr:cNvGraphicFramePr/>
      </xdr:nvGraphicFramePr>
      <xdr:xfrm>
        <a:off x="1905000" y="10077450"/>
        <a:ext cx="46767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61</xdr:row>
      <xdr:rowOff>0</xdr:rowOff>
    </xdr:from>
    <xdr:to>
      <xdr:col>19</xdr:col>
      <xdr:colOff>104775</xdr:colOff>
      <xdr:row>78</xdr:row>
      <xdr:rowOff>66675</xdr:rowOff>
    </xdr:to>
    <xdr:graphicFrame>
      <xdr:nvGraphicFramePr>
        <xdr:cNvPr id="2" name="Chart 2"/>
        <xdr:cNvGraphicFramePr/>
      </xdr:nvGraphicFramePr>
      <xdr:xfrm>
        <a:off x="6657975" y="10077450"/>
        <a:ext cx="46863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2" width="13.140625" style="0" customWidth="1"/>
    <col min="3" max="3" width="12.57421875" style="0" customWidth="1"/>
    <col min="4" max="4" width="3.7109375" style="0" customWidth="1"/>
    <col min="5" max="11" width="13.00390625" style="0" customWidth="1"/>
  </cols>
  <sheetData>
    <row r="1" ht="20.25">
      <c r="A1" s="21" t="s">
        <v>0</v>
      </c>
    </row>
    <row r="2" spans="6:7" ht="12.75">
      <c r="F2" s="9" t="s">
        <v>1</v>
      </c>
      <c r="G2" s="110"/>
    </row>
    <row r="3" spans="1:9" ht="12.75">
      <c r="A3" s="91" t="s">
        <v>2</v>
      </c>
      <c r="B3" s="92"/>
      <c r="C3" s="114">
        <v>18</v>
      </c>
      <c r="G3" s="22"/>
      <c r="H3" s="1" t="str">
        <f>IF(G2&gt;0,"  (fractional number of groups)","     (even number of groups)")</f>
        <v>     (even number of groups)</v>
      </c>
      <c r="I3" s="1"/>
    </row>
    <row r="4" spans="1:11" ht="12.75">
      <c r="A4" s="96" t="s">
        <v>3</v>
      </c>
      <c r="B4" s="1"/>
      <c r="C4" s="115">
        <v>3</v>
      </c>
      <c r="H4" s="9" t="s">
        <v>4</v>
      </c>
      <c r="I4" s="9" t="s">
        <v>5</v>
      </c>
      <c r="J4" s="9" t="s">
        <v>6</v>
      </c>
      <c r="K4" s="9" t="s">
        <v>6</v>
      </c>
    </row>
    <row r="5" spans="5:11" ht="12.75">
      <c r="E5" s="9" t="s">
        <v>7</v>
      </c>
      <c r="F5" s="9" t="s">
        <v>8</v>
      </c>
      <c r="G5" s="9" t="s">
        <v>4</v>
      </c>
      <c r="H5" s="13" t="s">
        <v>9</v>
      </c>
      <c r="I5" s="13" t="s">
        <v>10</v>
      </c>
      <c r="J5" s="9" t="s">
        <v>4</v>
      </c>
      <c r="K5" s="9" t="s">
        <v>11</v>
      </c>
    </row>
    <row r="6" spans="1:11" ht="12.75">
      <c r="A6" s="2" t="s">
        <v>12</v>
      </c>
      <c r="B6" s="3"/>
      <c r="C6" s="4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15</v>
      </c>
      <c r="K6" s="10" t="s">
        <v>19</v>
      </c>
    </row>
    <row r="7" spans="1:11" ht="12.75">
      <c r="A7" s="5" t="s">
        <v>15</v>
      </c>
      <c r="B7" s="6" t="s">
        <v>20</v>
      </c>
      <c r="C7" s="7" t="s">
        <v>21</v>
      </c>
      <c r="E7">
        <v>4</v>
      </c>
      <c r="F7" s="28">
        <f aca="true" t="shared" si="0" ref="F7:F35">IF($G$2&gt;0,$G$2,INT(2*E7*$C$15))</f>
        <v>192</v>
      </c>
      <c r="G7" s="12">
        <f aca="true" t="shared" si="1" ref="G7:G35">IF($G$2&gt;0,VLOOKUP($C$4,Chart,2)*2*E7,F7/$C$14)</f>
        <v>32</v>
      </c>
      <c r="H7">
        <f>IF($G$2&gt;0,G7*(VLOOKUP($C$4,Chart,3)/60),(F7/$C$16)-MOD(F7/$C$16,E7))</f>
        <v>24</v>
      </c>
      <c r="I7" s="11">
        <f>IF($G$2&gt;0,(F7/H7),MAX($C$16,TRUNC(F7/H7)))</f>
        <v>8</v>
      </c>
      <c r="J7" s="28">
        <f>IF($G$2&gt;0,H7*I7,H7*MAX($C$16,TRUNC(F7/H7)))</f>
        <v>192</v>
      </c>
      <c r="K7" s="11">
        <f>J7/G7</f>
        <v>6</v>
      </c>
    </row>
    <row r="8" spans="1:11" ht="12.75">
      <c r="A8" s="5" t="s">
        <v>22</v>
      </c>
      <c r="B8" s="6" t="s">
        <v>23</v>
      </c>
      <c r="C8" s="7" t="s">
        <v>24</v>
      </c>
      <c r="E8">
        <f>E7+2</f>
        <v>6</v>
      </c>
      <c r="F8" s="28">
        <f t="shared" si="0"/>
        <v>288</v>
      </c>
      <c r="G8" s="12">
        <f t="shared" si="1"/>
        <v>48</v>
      </c>
      <c r="H8">
        <f aca="true" t="shared" si="2" ref="H8:H35">IF($G$2&gt;0,G8*(VLOOKUP($C$4,Chart,3)/60),(F8/$C$16)-MOD(F8/$C$16,E8))</f>
        <v>36</v>
      </c>
      <c r="I8" s="11">
        <f aca="true" t="shared" si="3" ref="I8:I35">IF($G$2&gt;0,(F8/H8),MAX($C$16,TRUNC(F8/H8)))</f>
        <v>8</v>
      </c>
      <c r="J8" s="28">
        <f aca="true" t="shared" si="4" ref="J8:J35">IF($G$2&gt;0,H8*I8,H8*MAX($C$16,TRUNC(F8/H8)))</f>
        <v>288</v>
      </c>
      <c r="K8" s="11">
        <f aca="true" t="shared" si="5" ref="K8:K35">J8/G8</f>
        <v>6</v>
      </c>
    </row>
    <row r="9" spans="1:11" ht="12.75">
      <c r="A9" s="2">
        <v>2</v>
      </c>
      <c r="B9" s="14">
        <v>3.5</v>
      </c>
      <c r="C9" s="15">
        <v>60</v>
      </c>
      <c r="E9">
        <f aca="true" t="shared" si="6" ref="E9:E35">E8+2</f>
        <v>8</v>
      </c>
      <c r="F9" s="28">
        <f t="shared" si="0"/>
        <v>384</v>
      </c>
      <c r="G9" s="12">
        <f t="shared" si="1"/>
        <v>64</v>
      </c>
      <c r="H9">
        <f t="shared" si="2"/>
        <v>48</v>
      </c>
      <c r="I9" s="11">
        <f t="shared" si="3"/>
        <v>8</v>
      </c>
      <c r="J9" s="28">
        <f t="shared" si="4"/>
        <v>384</v>
      </c>
      <c r="K9" s="11">
        <f t="shared" si="5"/>
        <v>6</v>
      </c>
    </row>
    <row r="10" spans="1:11" ht="12.75">
      <c r="A10" s="5">
        <v>3</v>
      </c>
      <c r="B10" s="140">
        <v>4</v>
      </c>
      <c r="C10" s="16">
        <v>45</v>
      </c>
      <c r="E10">
        <f t="shared" si="6"/>
        <v>10</v>
      </c>
      <c r="F10" s="28">
        <f t="shared" si="0"/>
        <v>480</v>
      </c>
      <c r="G10" s="12">
        <f t="shared" si="1"/>
        <v>80</v>
      </c>
      <c r="H10">
        <f t="shared" si="2"/>
        <v>60</v>
      </c>
      <c r="I10" s="11">
        <f t="shared" si="3"/>
        <v>8</v>
      </c>
      <c r="J10" s="28">
        <f t="shared" si="4"/>
        <v>480</v>
      </c>
      <c r="K10" s="11">
        <f t="shared" si="5"/>
        <v>6</v>
      </c>
    </row>
    <row r="11" spans="1:11" ht="12.75">
      <c r="A11" s="8">
        <v>4</v>
      </c>
      <c r="B11" s="17">
        <v>5.5</v>
      </c>
      <c r="C11" s="18">
        <v>30</v>
      </c>
      <c r="E11">
        <f t="shared" si="6"/>
        <v>12</v>
      </c>
      <c r="F11" s="28">
        <f t="shared" si="0"/>
        <v>576</v>
      </c>
      <c r="G11" s="12">
        <f t="shared" si="1"/>
        <v>96</v>
      </c>
      <c r="H11">
        <f t="shared" si="2"/>
        <v>72</v>
      </c>
      <c r="I11" s="11">
        <f t="shared" si="3"/>
        <v>8</v>
      </c>
      <c r="J11" s="28">
        <f t="shared" si="4"/>
        <v>576</v>
      </c>
      <c r="K11" s="11">
        <f t="shared" si="5"/>
        <v>6</v>
      </c>
    </row>
    <row r="12" spans="5:11" ht="12.75">
      <c r="E12">
        <f t="shared" si="6"/>
        <v>14</v>
      </c>
      <c r="F12" s="28">
        <f t="shared" si="0"/>
        <v>672</v>
      </c>
      <c r="G12" s="12">
        <f t="shared" si="1"/>
        <v>112</v>
      </c>
      <c r="H12">
        <f t="shared" si="2"/>
        <v>84</v>
      </c>
      <c r="I12" s="11">
        <f t="shared" si="3"/>
        <v>8</v>
      </c>
      <c r="J12" s="28">
        <f t="shared" si="4"/>
        <v>672</v>
      </c>
      <c r="K12" s="11">
        <f t="shared" si="5"/>
        <v>6</v>
      </c>
    </row>
    <row r="13" spans="1:11" ht="12.75">
      <c r="A13" s="1" t="s">
        <v>25</v>
      </c>
      <c r="B13" s="1"/>
      <c r="C13" s="1"/>
      <c r="E13">
        <f t="shared" si="6"/>
        <v>16</v>
      </c>
      <c r="F13" s="28">
        <f t="shared" si="0"/>
        <v>768</v>
      </c>
      <c r="G13" s="12">
        <f t="shared" si="1"/>
        <v>128</v>
      </c>
      <c r="H13">
        <f t="shared" si="2"/>
        <v>96</v>
      </c>
      <c r="I13" s="11">
        <f t="shared" si="3"/>
        <v>8</v>
      </c>
      <c r="J13" s="28">
        <f t="shared" si="4"/>
        <v>768</v>
      </c>
      <c r="K13" s="11">
        <f t="shared" si="5"/>
        <v>6</v>
      </c>
    </row>
    <row r="14" spans="1:11" ht="12.75">
      <c r="A14" s="91" t="s">
        <v>26</v>
      </c>
      <c r="B14" s="92"/>
      <c r="C14" s="111">
        <f>C3/C4</f>
        <v>6</v>
      </c>
      <c r="E14">
        <f t="shared" si="6"/>
        <v>18</v>
      </c>
      <c r="F14" s="28">
        <f t="shared" si="0"/>
        <v>864</v>
      </c>
      <c r="G14" s="12">
        <f t="shared" si="1"/>
        <v>144</v>
      </c>
      <c r="H14">
        <f t="shared" si="2"/>
        <v>108</v>
      </c>
      <c r="I14" s="11">
        <f t="shared" si="3"/>
        <v>8</v>
      </c>
      <c r="J14" s="28">
        <f t="shared" si="4"/>
        <v>864</v>
      </c>
      <c r="K14" s="11">
        <f t="shared" si="5"/>
        <v>6</v>
      </c>
    </row>
    <row r="15" spans="1:11" ht="12.75">
      <c r="A15" s="94" t="s">
        <v>27</v>
      </c>
      <c r="B15" s="30"/>
      <c r="C15" s="112">
        <f>VLOOKUP(C4,Chart,2)*C14</f>
        <v>24</v>
      </c>
      <c r="E15">
        <f t="shared" si="6"/>
        <v>20</v>
      </c>
      <c r="F15" s="28">
        <f t="shared" si="0"/>
        <v>960</v>
      </c>
      <c r="G15" s="12">
        <f t="shared" si="1"/>
        <v>160</v>
      </c>
      <c r="H15">
        <f t="shared" si="2"/>
        <v>120</v>
      </c>
      <c r="I15" s="11">
        <f t="shared" si="3"/>
        <v>8</v>
      </c>
      <c r="J15" s="28">
        <f t="shared" si="4"/>
        <v>960</v>
      </c>
      <c r="K15" s="11">
        <f t="shared" si="5"/>
        <v>6</v>
      </c>
    </row>
    <row r="16" spans="1:11" ht="12.75">
      <c r="A16" s="96" t="s">
        <v>28</v>
      </c>
      <c r="B16" s="1"/>
      <c r="C16" s="113">
        <f>ROUNDUP($C$14/(VLOOKUP($C$4,Chart,3)/60),0)</f>
        <v>8</v>
      </c>
      <c r="E16">
        <f t="shared" si="6"/>
        <v>22</v>
      </c>
      <c r="F16" s="28">
        <f t="shared" si="0"/>
        <v>1056</v>
      </c>
      <c r="G16" s="12">
        <f t="shared" si="1"/>
        <v>176</v>
      </c>
      <c r="H16">
        <f t="shared" si="2"/>
        <v>132</v>
      </c>
      <c r="I16" s="11">
        <f t="shared" si="3"/>
        <v>8</v>
      </c>
      <c r="J16" s="28">
        <f t="shared" si="4"/>
        <v>1056</v>
      </c>
      <c r="K16" s="11">
        <f t="shared" si="5"/>
        <v>6</v>
      </c>
    </row>
    <row r="17" spans="5:11" ht="12.75">
      <c r="E17">
        <f t="shared" si="6"/>
        <v>24</v>
      </c>
      <c r="F17" s="28">
        <f t="shared" si="0"/>
        <v>1152</v>
      </c>
      <c r="G17" s="12">
        <f t="shared" si="1"/>
        <v>192</v>
      </c>
      <c r="H17">
        <f t="shared" si="2"/>
        <v>144</v>
      </c>
      <c r="I17" s="11">
        <f t="shared" si="3"/>
        <v>8</v>
      </c>
      <c r="J17" s="28">
        <f t="shared" si="4"/>
        <v>1152</v>
      </c>
      <c r="K17" s="11">
        <f t="shared" si="5"/>
        <v>6</v>
      </c>
    </row>
    <row r="18" spans="5:11" ht="12.75">
      <c r="E18">
        <f>E17+2</f>
        <v>26</v>
      </c>
      <c r="F18" s="28">
        <f t="shared" si="0"/>
        <v>1248</v>
      </c>
      <c r="G18" s="12">
        <f t="shared" si="1"/>
        <v>208</v>
      </c>
      <c r="H18">
        <f t="shared" si="2"/>
        <v>156</v>
      </c>
      <c r="I18" s="11">
        <f t="shared" si="3"/>
        <v>8</v>
      </c>
      <c r="J18" s="28">
        <f t="shared" si="4"/>
        <v>1248</v>
      </c>
      <c r="K18" s="11">
        <f t="shared" si="5"/>
        <v>6</v>
      </c>
    </row>
    <row r="19" spans="5:11" ht="12.75">
      <c r="E19">
        <f t="shared" si="6"/>
        <v>28</v>
      </c>
      <c r="F19" s="28">
        <f t="shared" si="0"/>
        <v>1344</v>
      </c>
      <c r="G19" s="12">
        <f t="shared" si="1"/>
        <v>224</v>
      </c>
      <c r="H19">
        <f t="shared" si="2"/>
        <v>168</v>
      </c>
      <c r="I19" s="11">
        <f t="shared" si="3"/>
        <v>8</v>
      </c>
      <c r="J19" s="28">
        <f t="shared" si="4"/>
        <v>1344</v>
      </c>
      <c r="K19" s="11">
        <f t="shared" si="5"/>
        <v>6</v>
      </c>
    </row>
    <row r="20" spans="5:11" ht="12.75">
      <c r="E20">
        <f t="shared" si="6"/>
        <v>30</v>
      </c>
      <c r="F20" s="28">
        <f t="shared" si="0"/>
        <v>1440</v>
      </c>
      <c r="G20" s="12">
        <f t="shared" si="1"/>
        <v>240</v>
      </c>
      <c r="H20">
        <f t="shared" si="2"/>
        <v>180</v>
      </c>
      <c r="I20" s="11">
        <f t="shared" si="3"/>
        <v>8</v>
      </c>
      <c r="J20" s="28">
        <f t="shared" si="4"/>
        <v>1440</v>
      </c>
      <c r="K20" s="11">
        <f t="shared" si="5"/>
        <v>6</v>
      </c>
    </row>
    <row r="21" spans="5:11" ht="12.75">
      <c r="E21">
        <f t="shared" si="6"/>
        <v>32</v>
      </c>
      <c r="F21" s="28">
        <f t="shared" si="0"/>
        <v>1536</v>
      </c>
      <c r="G21" s="12">
        <f t="shared" si="1"/>
        <v>256</v>
      </c>
      <c r="H21">
        <f t="shared" si="2"/>
        <v>192</v>
      </c>
      <c r="I21" s="11">
        <f t="shared" si="3"/>
        <v>8</v>
      </c>
      <c r="J21" s="28">
        <f t="shared" si="4"/>
        <v>1536</v>
      </c>
      <c r="K21" s="11">
        <f t="shared" si="5"/>
        <v>6</v>
      </c>
    </row>
    <row r="22" spans="5:11" ht="12.75">
      <c r="E22">
        <f t="shared" si="6"/>
        <v>34</v>
      </c>
      <c r="F22" s="28">
        <f t="shared" si="0"/>
        <v>1632</v>
      </c>
      <c r="G22" s="12">
        <f t="shared" si="1"/>
        <v>272</v>
      </c>
      <c r="H22">
        <f t="shared" si="2"/>
        <v>204</v>
      </c>
      <c r="I22" s="11">
        <f t="shared" si="3"/>
        <v>8</v>
      </c>
      <c r="J22" s="28">
        <f t="shared" si="4"/>
        <v>1632</v>
      </c>
      <c r="K22" s="11">
        <f t="shared" si="5"/>
        <v>6</v>
      </c>
    </row>
    <row r="23" spans="5:11" ht="12.75">
      <c r="E23">
        <f t="shared" si="6"/>
        <v>36</v>
      </c>
      <c r="F23" s="28">
        <f t="shared" si="0"/>
        <v>1728</v>
      </c>
      <c r="G23" s="12">
        <f t="shared" si="1"/>
        <v>288</v>
      </c>
      <c r="H23">
        <f t="shared" si="2"/>
        <v>216</v>
      </c>
      <c r="I23" s="11">
        <f t="shared" si="3"/>
        <v>8</v>
      </c>
      <c r="J23" s="28">
        <f t="shared" si="4"/>
        <v>1728</v>
      </c>
      <c r="K23" s="11">
        <f t="shared" si="5"/>
        <v>6</v>
      </c>
    </row>
    <row r="24" spans="5:11" ht="12.75">
      <c r="E24">
        <f t="shared" si="6"/>
        <v>38</v>
      </c>
      <c r="F24" s="28">
        <f t="shared" si="0"/>
        <v>1824</v>
      </c>
      <c r="G24" s="12">
        <f t="shared" si="1"/>
        <v>304</v>
      </c>
      <c r="H24">
        <f t="shared" si="2"/>
        <v>228</v>
      </c>
      <c r="I24" s="11">
        <f t="shared" si="3"/>
        <v>8</v>
      </c>
      <c r="J24" s="28">
        <f t="shared" si="4"/>
        <v>1824</v>
      </c>
      <c r="K24" s="11">
        <f t="shared" si="5"/>
        <v>6</v>
      </c>
    </row>
    <row r="25" spans="5:11" ht="12.75">
      <c r="E25">
        <f>E24+2</f>
        <v>40</v>
      </c>
      <c r="F25" s="28">
        <f t="shared" si="0"/>
        <v>1920</v>
      </c>
      <c r="G25" s="12">
        <f t="shared" si="1"/>
        <v>320</v>
      </c>
      <c r="H25">
        <f t="shared" si="2"/>
        <v>240</v>
      </c>
      <c r="I25" s="11">
        <f t="shared" si="3"/>
        <v>8</v>
      </c>
      <c r="J25" s="28">
        <f t="shared" si="4"/>
        <v>1920</v>
      </c>
      <c r="K25" s="11">
        <f t="shared" si="5"/>
        <v>6</v>
      </c>
    </row>
    <row r="26" spans="5:11" ht="12.75">
      <c r="E26">
        <f t="shared" si="6"/>
        <v>42</v>
      </c>
      <c r="F26" s="28">
        <f t="shared" si="0"/>
        <v>2016</v>
      </c>
      <c r="G26" s="12">
        <f t="shared" si="1"/>
        <v>336</v>
      </c>
      <c r="H26">
        <f t="shared" si="2"/>
        <v>252</v>
      </c>
      <c r="I26" s="11">
        <f t="shared" si="3"/>
        <v>8</v>
      </c>
      <c r="J26" s="28">
        <f t="shared" si="4"/>
        <v>2016</v>
      </c>
      <c r="K26" s="11">
        <f t="shared" si="5"/>
        <v>6</v>
      </c>
    </row>
    <row r="27" spans="5:11" ht="12.75">
      <c r="E27">
        <f t="shared" si="6"/>
        <v>44</v>
      </c>
      <c r="F27" s="28">
        <f t="shared" si="0"/>
        <v>2112</v>
      </c>
      <c r="G27" s="12">
        <f t="shared" si="1"/>
        <v>352</v>
      </c>
      <c r="H27">
        <f t="shared" si="2"/>
        <v>264</v>
      </c>
      <c r="I27" s="11">
        <f t="shared" si="3"/>
        <v>8</v>
      </c>
      <c r="J27" s="28">
        <f t="shared" si="4"/>
        <v>2112</v>
      </c>
      <c r="K27" s="11">
        <f t="shared" si="5"/>
        <v>6</v>
      </c>
    </row>
    <row r="28" spans="5:11" ht="12.75">
      <c r="E28">
        <f t="shared" si="6"/>
        <v>46</v>
      </c>
      <c r="F28" s="28">
        <f t="shared" si="0"/>
        <v>2208</v>
      </c>
      <c r="G28" s="12">
        <f t="shared" si="1"/>
        <v>368</v>
      </c>
      <c r="H28">
        <f t="shared" si="2"/>
        <v>276</v>
      </c>
      <c r="I28" s="11">
        <f t="shared" si="3"/>
        <v>8</v>
      </c>
      <c r="J28" s="28">
        <f t="shared" si="4"/>
        <v>2208</v>
      </c>
      <c r="K28" s="11">
        <f t="shared" si="5"/>
        <v>6</v>
      </c>
    </row>
    <row r="29" spans="5:11" ht="12.75">
      <c r="E29">
        <f t="shared" si="6"/>
        <v>48</v>
      </c>
      <c r="F29" s="28">
        <f t="shared" si="0"/>
        <v>2304</v>
      </c>
      <c r="G29" s="12">
        <f t="shared" si="1"/>
        <v>384</v>
      </c>
      <c r="H29">
        <f t="shared" si="2"/>
        <v>288</v>
      </c>
      <c r="I29" s="11">
        <f t="shared" si="3"/>
        <v>8</v>
      </c>
      <c r="J29" s="28">
        <f t="shared" si="4"/>
        <v>2304</v>
      </c>
      <c r="K29" s="11">
        <f t="shared" si="5"/>
        <v>6</v>
      </c>
    </row>
    <row r="30" spans="5:11" ht="12.75">
      <c r="E30">
        <f>E29+2</f>
        <v>50</v>
      </c>
      <c r="F30" s="28">
        <f t="shared" si="0"/>
        <v>2400</v>
      </c>
      <c r="G30" s="12">
        <f t="shared" si="1"/>
        <v>400</v>
      </c>
      <c r="H30">
        <f t="shared" si="2"/>
        <v>300</v>
      </c>
      <c r="I30" s="11">
        <f t="shared" si="3"/>
        <v>8</v>
      </c>
      <c r="J30" s="28">
        <f t="shared" si="4"/>
        <v>2400</v>
      </c>
      <c r="K30" s="11">
        <f t="shared" si="5"/>
        <v>6</v>
      </c>
    </row>
    <row r="31" spans="5:11" ht="12.75">
      <c r="E31">
        <f t="shared" si="6"/>
        <v>52</v>
      </c>
      <c r="F31" s="28">
        <f t="shared" si="0"/>
        <v>2496</v>
      </c>
      <c r="G31" s="12">
        <f t="shared" si="1"/>
        <v>416</v>
      </c>
      <c r="H31">
        <f t="shared" si="2"/>
        <v>312</v>
      </c>
      <c r="I31" s="11">
        <f t="shared" si="3"/>
        <v>8</v>
      </c>
      <c r="J31" s="28">
        <f t="shared" si="4"/>
        <v>2496</v>
      </c>
      <c r="K31" s="11">
        <f t="shared" si="5"/>
        <v>6</v>
      </c>
    </row>
    <row r="32" spans="5:11" ht="12.75">
      <c r="E32">
        <f t="shared" si="6"/>
        <v>54</v>
      </c>
      <c r="F32" s="28">
        <f t="shared" si="0"/>
        <v>2592</v>
      </c>
      <c r="G32" s="12">
        <f t="shared" si="1"/>
        <v>432</v>
      </c>
      <c r="H32">
        <f t="shared" si="2"/>
        <v>324</v>
      </c>
      <c r="I32" s="11">
        <f t="shared" si="3"/>
        <v>8</v>
      </c>
      <c r="J32" s="28">
        <f t="shared" si="4"/>
        <v>2592</v>
      </c>
      <c r="K32" s="11">
        <f t="shared" si="5"/>
        <v>6</v>
      </c>
    </row>
    <row r="33" spans="5:11" ht="12.75">
      <c r="E33">
        <f t="shared" si="6"/>
        <v>56</v>
      </c>
      <c r="F33" s="28">
        <f t="shared" si="0"/>
        <v>2688</v>
      </c>
      <c r="G33" s="12">
        <f t="shared" si="1"/>
        <v>448</v>
      </c>
      <c r="H33">
        <f t="shared" si="2"/>
        <v>336</v>
      </c>
      <c r="I33" s="11">
        <f t="shared" si="3"/>
        <v>8</v>
      </c>
      <c r="J33" s="28">
        <f t="shared" si="4"/>
        <v>2688</v>
      </c>
      <c r="K33" s="11">
        <f t="shared" si="5"/>
        <v>6</v>
      </c>
    </row>
    <row r="34" spans="5:11" ht="12.75">
      <c r="E34">
        <f t="shared" si="6"/>
        <v>58</v>
      </c>
      <c r="F34" s="28">
        <f t="shared" si="0"/>
        <v>2784</v>
      </c>
      <c r="G34" s="12">
        <f t="shared" si="1"/>
        <v>464</v>
      </c>
      <c r="H34">
        <f t="shared" si="2"/>
        <v>348</v>
      </c>
      <c r="I34" s="11">
        <f t="shared" si="3"/>
        <v>8</v>
      </c>
      <c r="J34" s="28">
        <f t="shared" si="4"/>
        <v>2784</v>
      </c>
      <c r="K34" s="11">
        <f t="shared" si="5"/>
        <v>6</v>
      </c>
    </row>
    <row r="35" spans="5:11" ht="12.75">
      <c r="E35" s="1">
        <f t="shared" si="6"/>
        <v>60</v>
      </c>
      <c r="F35" s="27">
        <f t="shared" si="0"/>
        <v>2880</v>
      </c>
      <c r="G35" s="19">
        <f t="shared" si="1"/>
        <v>480</v>
      </c>
      <c r="H35" s="1">
        <f t="shared" si="2"/>
        <v>360</v>
      </c>
      <c r="I35" s="20">
        <f t="shared" si="3"/>
        <v>8</v>
      </c>
      <c r="J35" s="27">
        <f t="shared" si="4"/>
        <v>2880</v>
      </c>
      <c r="K35" s="20">
        <f t="shared" si="5"/>
        <v>6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2" r:id="rId1"/>
  <headerFooter alignWithMargins="0">
    <oddFooter>&amp;R&amp;8Dairy Management at Virginia Tech
Dr. M.L. McGilliard, Dr. G.L. Bethard
[&amp;F], Revised 4/3/08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PageLayoutView="0" workbookViewId="0" topLeftCell="A16">
      <selection activeCell="K43" sqref="K43:L43"/>
    </sheetView>
  </sheetViews>
  <sheetFormatPr defaultColWidth="9.140625" defaultRowHeight="12.75"/>
  <cols>
    <col min="1" max="3" width="12.421875" style="0" customWidth="1"/>
    <col min="4" max="4" width="5.7109375" style="0" customWidth="1"/>
    <col min="5" max="5" width="12.8515625" style="0" customWidth="1"/>
    <col min="6" max="6" width="6.00390625" style="0" customWidth="1"/>
    <col min="7" max="7" width="14.8515625" style="0" customWidth="1"/>
    <col min="8" max="8" width="5.57421875" style="0" customWidth="1"/>
    <col min="9" max="9" width="12.8515625" style="0" customWidth="1"/>
    <col min="10" max="10" width="7.00390625" style="0" customWidth="1"/>
    <col min="11" max="11" width="14.57421875" style="0" customWidth="1"/>
    <col min="12" max="12" width="5.140625" style="0" customWidth="1"/>
    <col min="13" max="13" width="20.57421875" style="0" customWidth="1"/>
  </cols>
  <sheetData>
    <row r="1" spans="1:13" ht="17.25">
      <c r="A1" s="23" t="s">
        <v>29</v>
      </c>
      <c r="M1" s="136" t="s">
        <v>30</v>
      </c>
    </row>
    <row r="2" ht="17.25">
      <c r="A2" s="23"/>
    </row>
    <row r="3" spans="1:11" s="25" customFormat="1" ht="15">
      <c r="A3" s="26" t="s">
        <v>31</v>
      </c>
      <c r="G3" s="26" t="s">
        <v>32</v>
      </c>
      <c r="K3" s="26" t="s">
        <v>33</v>
      </c>
    </row>
    <row r="4" s="24" customFormat="1" ht="13.5" thickBot="1"/>
    <row r="5" spans="1:12" s="24" customFormat="1" ht="12.75">
      <c r="A5" s="66" t="s">
        <v>34</v>
      </c>
      <c r="B5" s="40"/>
      <c r="C5" s="85">
        <v>1000</v>
      </c>
      <c r="D5" s="123"/>
      <c r="E5" s="87"/>
      <c r="F5" s="66"/>
      <c r="G5" s="85">
        <v>1000</v>
      </c>
      <c r="H5" s="42"/>
      <c r="I5" s="63"/>
      <c r="J5" s="66"/>
      <c r="K5" s="85">
        <v>1000</v>
      </c>
      <c r="L5" s="42"/>
    </row>
    <row r="6" spans="1:12" ht="12.75">
      <c r="A6" s="43"/>
      <c r="B6" s="30"/>
      <c r="C6" s="30"/>
      <c r="D6" s="44"/>
      <c r="E6" s="30"/>
      <c r="F6" s="43"/>
      <c r="G6" s="30"/>
      <c r="H6" s="44"/>
      <c r="I6" s="30"/>
      <c r="J6" s="43"/>
      <c r="K6" s="30"/>
      <c r="L6" s="44"/>
    </row>
    <row r="7" spans="1:12" ht="12.75">
      <c r="A7" s="43" t="s">
        <v>2</v>
      </c>
      <c r="B7" s="30"/>
      <c r="C7" s="86">
        <v>18</v>
      </c>
      <c r="D7" s="124"/>
      <c r="E7" s="86"/>
      <c r="F7" s="43"/>
      <c r="G7" s="86">
        <v>21</v>
      </c>
      <c r="H7" s="44"/>
      <c r="I7" s="30"/>
      <c r="J7" s="43"/>
      <c r="K7" s="86">
        <v>15</v>
      </c>
      <c r="L7" s="44"/>
    </row>
    <row r="8" spans="1:12" ht="12.75">
      <c r="A8" s="43" t="s">
        <v>3</v>
      </c>
      <c r="B8" s="30"/>
      <c r="C8" s="87">
        <v>3</v>
      </c>
      <c r="D8" s="125"/>
      <c r="E8" s="87"/>
      <c r="F8" s="43"/>
      <c r="G8" s="87">
        <v>3</v>
      </c>
      <c r="H8" s="44"/>
      <c r="I8" s="30"/>
      <c r="J8" s="43"/>
      <c r="K8" s="87">
        <v>3</v>
      </c>
      <c r="L8" s="44"/>
    </row>
    <row r="9" spans="1:12" ht="12.75">
      <c r="A9" s="43" t="s">
        <v>35</v>
      </c>
      <c r="B9" s="30"/>
      <c r="C9" s="86">
        <v>1.5</v>
      </c>
      <c r="D9" s="125"/>
      <c r="E9" s="87"/>
      <c r="F9" s="43"/>
      <c r="G9" s="86">
        <v>1.5</v>
      </c>
      <c r="H9" s="44"/>
      <c r="I9" s="30"/>
      <c r="J9" s="43"/>
      <c r="K9" s="86">
        <v>1.5</v>
      </c>
      <c r="L9" s="44"/>
    </row>
    <row r="10" spans="1:12" ht="12.75">
      <c r="A10" s="43"/>
      <c r="B10" s="30"/>
      <c r="C10" s="30"/>
      <c r="D10" s="44"/>
      <c r="E10" s="30"/>
      <c r="F10" s="43"/>
      <c r="G10" s="30"/>
      <c r="H10" s="44"/>
      <c r="I10" s="30"/>
      <c r="J10" s="43"/>
      <c r="K10" s="30"/>
      <c r="L10" s="44"/>
    </row>
    <row r="11" spans="1:12" ht="12.75">
      <c r="A11" s="43" t="s">
        <v>36</v>
      </c>
      <c r="B11" s="30"/>
      <c r="C11" s="88">
        <f>VLOOKUP(C8,chart2,2)</f>
        <v>4</v>
      </c>
      <c r="D11" s="126"/>
      <c r="E11" s="88"/>
      <c r="F11" s="43"/>
      <c r="G11" s="88">
        <f>VLOOKUP(G8,chart3,2)</f>
        <v>4</v>
      </c>
      <c r="H11" s="44"/>
      <c r="I11" s="30"/>
      <c r="J11" s="43"/>
      <c r="K11" s="88">
        <f>VLOOKUP(K8,chart4,2)</f>
        <v>4</v>
      </c>
      <c r="L11" s="44"/>
    </row>
    <row r="12" spans="1:12" ht="12.75">
      <c r="A12" s="43" t="s">
        <v>37</v>
      </c>
      <c r="B12" s="30"/>
      <c r="C12" s="31">
        <f>VLOOKUP(C8,chart2,3)</f>
        <v>45</v>
      </c>
      <c r="D12" s="127"/>
      <c r="E12" s="31"/>
      <c r="F12" s="43"/>
      <c r="G12" s="31">
        <f>VLOOKUP(G8,chart3,3)</f>
        <v>45</v>
      </c>
      <c r="H12" s="44"/>
      <c r="I12" s="30"/>
      <c r="J12" s="43"/>
      <c r="K12" s="31">
        <f>VLOOKUP(K8,chart4,3)</f>
        <v>45</v>
      </c>
      <c r="L12" s="44"/>
    </row>
    <row r="13" spans="1:12" ht="12.75">
      <c r="A13" s="43"/>
      <c r="B13" s="30"/>
      <c r="C13" s="30"/>
      <c r="D13" s="44"/>
      <c r="E13" s="30"/>
      <c r="F13" s="43"/>
      <c r="G13" s="30"/>
      <c r="H13" s="44"/>
      <c r="I13" s="30"/>
      <c r="J13" s="43"/>
      <c r="K13" s="30"/>
      <c r="L13" s="44"/>
    </row>
    <row r="14" spans="1:12" ht="12.75">
      <c r="A14" s="43" t="s">
        <v>25</v>
      </c>
      <c r="B14" s="30"/>
      <c r="C14" s="30"/>
      <c r="D14" s="44"/>
      <c r="E14" s="30"/>
      <c r="F14" s="43"/>
      <c r="G14" s="30"/>
      <c r="H14" s="44"/>
      <c r="I14" s="30"/>
      <c r="J14" s="43"/>
      <c r="K14" s="30"/>
      <c r="L14" s="44"/>
    </row>
    <row r="15" spans="1:12" ht="12.75">
      <c r="A15" s="43" t="s">
        <v>26</v>
      </c>
      <c r="B15" s="30"/>
      <c r="C15" s="88">
        <f>C7/C8</f>
        <v>6</v>
      </c>
      <c r="D15" s="126"/>
      <c r="E15" s="88"/>
      <c r="F15" s="43"/>
      <c r="G15" s="88">
        <f>G7/G8</f>
        <v>7</v>
      </c>
      <c r="H15" s="44"/>
      <c r="I15" s="30"/>
      <c r="J15" s="43"/>
      <c r="K15" s="88">
        <f>K7/K8</f>
        <v>5</v>
      </c>
      <c r="L15" s="44"/>
    </row>
    <row r="16" spans="1:12" ht="12.75">
      <c r="A16" s="43" t="s">
        <v>38</v>
      </c>
      <c r="B16" s="30"/>
      <c r="C16" s="88">
        <f>VLOOKUP(C8,chart2,2)*C15</f>
        <v>24</v>
      </c>
      <c r="D16" s="126"/>
      <c r="E16" s="88"/>
      <c r="F16" s="43"/>
      <c r="G16" s="88">
        <f>VLOOKUP(G8,chart3,2)*G15</f>
        <v>28</v>
      </c>
      <c r="H16" s="44"/>
      <c r="I16" s="30"/>
      <c r="J16" s="43"/>
      <c r="K16" s="88">
        <f>VLOOKUP(K8,chart4,2)*K15</f>
        <v>20</v>
      </c>
      <c r="L16" s="44"/>
    </row>
    <row r="17" spans="1:12" ht="12.75">
      <c r="A17" s="43" t="s">
        <v>28</v>
      </c>
      <c r="B17" s="30"/>
      <c r="C17" s="31">
        <f>ROUNDUP(C15/(VLOOKUP(C8,chart2,3)/60),0)</f>
        <v>8</v>
      </c>
      <c r="D17" s="127"/>
      <c r="E17" s="31"/>
      <c r="F17" s="43"/>
      <c r="G17" s="31">
        <f>ROUNDUP(G15/(VLOOKUP(G8,chart3,3)/60),0)</f>
        <v>10</v>
      </c>
      <c r="H17" s="44"/>
      <c r="I17" s="30"/>
      <c r="J17" s="43"/>
      <c r="K17" s="31">
        <f>ROUNDUP(K15/(VLOOKUP(K8,chart4,3)/60),0)</f>
        <v>7</v>
      </c>
      <c r="L17" s="44"/>
    </row>
    <row r="18" spans="1:12" ht="12.75">
      <c r="A18" s="43"/>
      <c r="B18" s="30"/>
      <c r="C18" s="30"/>
      <c r="D18" s="44"/>
      <c r="E18" s="30"/>
      <c r="F18" s="43"/>
      <c r="G18" s="30"/>
      <c r="H18" s="44"/>
      <c r="I18" s="30"/>
      <c r="J18" s="43"/>
      <c r="K18" s="30"/>
      <c r="L18" s="44"/>
    </row>
    <row r="19" spans="1:12" ht="13.5" thickBot="1">
      <c r="A19" s="46" t="s">
        <v>39</v>
      </c>
      <c r="B19" s="32"/>
      <c r="C19" s="61">
        <f>C5/C16</f>
        <v>41.666666666666664</v>
      </c>
      <c r="D19" s="62"/>
      <c r="E19" s="36"/>
      <c r="F19" s="128"/>
      <c r="G19" s="61">
        <f>G5/G16</f>
        <v>35.714285714285715</v>
      </c>
      <c r="H19" s="47"/>
      <c r="I19" s="30"/>
      <c r="J19" s="43"/>
      <c r="K19" s="36">
        <f>K5/K16</f>
        <v>50</v>
      </c>
      <c r="L19" s="44"/>
    </row>
    <row r="20" spans="1:12" ht="13.5" thickBot="1">
      <c r="A20" s="30"/>
      <c r="B20" s="30"/>
      <c r="C20" s="36"/>
      <c r="D20" s="36"/>
      <c r="E20" s="36"/>
      <c r="F20" s="89"/>
      <c r="G20" s="36"/>
      <c r="H20" s="30"/>
      <c r="I20" s="30"/>
      <c r="J20" s="46"/>
      <c r="K20" s="61"/>
      <c r="L20" s="47"/>
    </row>
    <row r="21" spans="1:12" ht="13.5" thickBot="1">
      <c r="A21" s="81" t="s">
        <v>40</v>
      </c>
      <c r="B21" s="82"/>
      <c r="C21" s="83" t="str">
        <f>CONCATENATE("D-",TEXT(C22,0))</f>
        <v>D-22</v>
      </c>
      <c r="D21" s="130"/>
      <c r="E21" s="90"/>
      <c r="F21" s="129"/>
      <c r="G21" s="83" t="str">
        <f>CONCATENATE("D-",TEXT(G22,0))</f>
        <v>D-18</v>
      </c>
      <c r="H21" s="84"/>
      <c r="I21" s="30"/>
      <c r="J21" s="129"/>
      <c r="K21" s="83" t="str">
        <f>CONCATENATE("D-",TEXT(K22,0))</f>
        <v>D-26</v>
      </c>
      <c r="L21" s="84"/>
    </row>
    <row r="22" spans="3:11" ht="13.5" thickBot="1">
      <c r="C22" s="34">
        <f>((C19-MOD(C19,4))+IF(MOD(C19,4)&gt;0,4,0))/2</f>
        <v>22</v>
      </c>
      <c r="G22" s="34">
        <f>((G19-MOD(G19,4))+IF(MOD(G19,4)&gt;0,4,0))/2</f>
        <v>18</v>
      </c>
      <c r="K22" s="34">
        <f>((K19-MOD(K19,4))+IF(MOD(K19,4)&gt;0,4,0))/2</f>
        <v>26</v>
      </c>
    </row>
    <row r="23" spans="1:12" ht="12.75">
      <c r="A23" s="66" t="s">
        <v>41</v>
      </c>
      <c r="B23" s="40"/>
      <c r="C23" s="67">
        <f>C16*C22*2</f>
        <v>1056</v>
      </c>
      <c r="D23" s="133"/>
      <c r="E23" s="69"/>
      <c r="F23" s="39"/>
      <c r="G23" s="67">
        <f>G16*G22*2</f>
        <v>1008</v>
      </c>
      <c r="H23" s="50"/>
      <c r="I23" s="30"/>
      <c r="J23" s="48"/>
      <c r="K23" s="67">
        <f>K16*K22*2</f>
        <v>1040</v>
      </c>
      <c r="L23" s="50"/>
    </row>
    <row r="24" spans="1:12" ht="12.75">
      <c r="A24" s="68" t="s">
        <v>42</v>
      </c>
      <c r="B24" s="63"/>
      <c r="C24" s="69">
        <f>INT(C23/C22)*C22</f>
        <v>1056</v>
      </c>
      <c r="D24" s="134"/>
      <c r="E24" s="69"/>
      <c r="F24" s="131"/>
      <c r="G24" s="69">
        <f>INT(G23/G22)*G22</f>
        <v>1008</v>
      </c>
      <c r="H24" s="44"/>
      <c r="I24" s="30"/>
      <c r="J24" s="43"/>
      <c r="K24" s="69">
        <f>INT(K23/K22)*K22</f>
        <v>1040</v>
      </c>
      <c r="L24" s="44"/>
    </row>
    <row r="25" spans="1:12" ht="12.75">
      <c r="A25" s="68" t="s">
        <v>43</v>
      </c>
      <c r="B25" s="63"/>
      <c r="C25" s="70">
        <f>C24/C22/2</f>
        <v>24</v>
      </c>
      <c r="D25" s="134"/>
      <c r="E25" s="69"/>
      <c r="F25" s="131"/>
      <c r="G25" s="70">
        <f>G24/G22/2</f>
        <v>28</v>
      </c>
      <c r="H25" s="44"/>
      <c r="I25" s="30"/>
      <c r="J25" s="43"/>
      <c r="K25" s="70">
        <f>K24/K22/2</f>
        <v>20</v>
      </c>
      <c r="L25" s="44"/>
    </row>
    <row r="26" spans="1:12" ht="12.75">
      <c r="A26" s="68"/>
      <c r="B26" s="63"/>
      <c r="C26" s="69"/>
      <c r="D26" s="134"/>
      <c r="E26" s="69"/>
      <c r="F26" s="131"/>
      <c r="G26" s="69"/>
      <c r="H26" s="44"/>
      <c r="I26" s="30"/>
      <c r="J26" s="43"/>
      <c r="K26" s="30"/>
      <c r="L26" s="44"/>
    </row>
    <row r="27" spans="1:12" ht="12.75">
      <c r="A27" s="68" t="s">
        <v>44</v>
      </c>
      <c r="B27" s="72" t="s">
        <v>45</v>
      </c>
      <c r="C27" s="69">
        <f>C22</f>
        <v>22</v>
      </c>
      <c r="D27" s="134"/>
      <c r="E27" s="69"/>
      <c r="F27" s="132" t="s">
        <v>46</v>
      </c>
      <c r="G27" s="69">
        <f>G22</f>
        <v>18</v>
      </c>
      <c r="H27" s="44"/>
      <c r="I27" s="30"/>
      <c r="J27" s="132" t="s">
        <v>46</v>
      </c>
      <c r="K27" s="69">
        <f>K22</f>
        <v>26</v>
      </c>
      <c r="L27" s="44"/>
    </row>
    <row r="28" spans="1:12" ht="12.75">
      <c r="A28" s="71">
        <f>C17</f>
        <v>8</v>
      </c>
      <c r="B28" s="72" t="s">
        <v>47</v>
      </c>
      <c r="C28" s="73">
        <f>$C$24/A28</f>
        <v>132</v>
      </c>
      <c r="D28" s="76" t="str">
        <f>IF(AND(MOD(C28,1)=0,MOD(C28,$C$22)=0),"&lt;&lt;","")</f>
        <v>&lt;&lt;</v>
      </c>
      <c r="E28" s="72"/>
      <c r="F28" s="71">
        <f>G17</f>
        <v>10</v>
      </c>
      <c r="G28" s="73">
        <f>$G$24/F28</f>
        <v>100.8</v>
      </c>
      <c r="H28" s="76">
        <f>IF(AND(MOD(G28,1)=0,MOD(G28,$G$22)=0),"&lt;&lt;","")</f>
      </c>
      <c r="I28" s="30"/>
      <c r="J28" s="71">
        <f>K17</f>
        <v>7</v>
      </c>
      <c r="K28" s="73">
        <f>$K$24/J28</f>
        <v>148.57142857142858</v>
      </c>
      <c r="L28" s="76">
        <f>IF(AND(MOD(K28,1)=0,MOD(K28,$G$22)=0),"&lt;&lt;","")</f>
      </c>
    </row>
    <row r="29" spans="1:12" ht="12.75">
      <c r="A29" s="71">
        <f>A28+1</f>
        <v>9</v>
      </c>
      <c r="B29" s="72" t="s">
        <v>47</v>
      </c>
      <c r="C29" s="73">
        <f>$C$24/A29</f>
        <v>117.33333333333333</v>
      </c>
      <c r="D29" s="76">
        <f>IF(AND(MOD(C29,1)=0,MOD(C29,$C$22)=0),"&lt;&lt;","")</f>
      </c>
      <c r="E29" s="73"/>
      <c r="F29" s="71">
        <f>F28+1</f>
        <v>11</v>
      </c>
      <c r="G29" s="73">
        <f>$G$24/F29</f>
        <v>91.63636363636364</v>
      </c>
      <c r="H29" s="76">
        <f>IF(AND(MOD(G29,1)=0,MOD(G29,$G$22)=0),"&lt;&lt;","")</f>
      </c>
      <c r="I29" s="30"/>
      <c r="J29" s="71">
        <f>J28+1</f>
        <v>8</v>
      </c>
      <c r="K29" s="73">
        <f>$K$24/J29</f>
        <v>130</v>
      </c>
      <c r="L29" s="76">
        <f>IF(AND(MOD(K29,1)=0,MOD(K29,$G$22)=0),"&lt;&lt;","")</f>
      </c>
    </row>
    <row r="30" spans="1:12" ht="12.75">
      <c r="A30" s="71">
        <f>A29+1</f>
        <v>10</v>
      </c>
      <c r="B30" s="72" t="s">
        <v>47</v>
      </c>
      <c r="C30" s="73">
        <f>$C$24/A30</f>
        <v>105.6</v>
      </c>
      <c r="D30" s="76">
        <f>IF(AND(MOD(C30,1)=0,MOD(C30,$C$22)=0),"&lt;&lt;","")</f>
      </c>
      <c r="E30" s="73"/>
      <c r="F30" s="71">
        <f>F29+1</f>
        <v>12</v>
      </c>
      <c r="G30" s="73">
        <f>$G$24/F30</f>
        <v>84</v>
      </c>
      <c r="H30" s="76">
        <f>IF(AND(MOD(G30,1)=0,MOD(G30,$G$22)=0),"&lt;&lt;","")</f>
      </c>
      <c r="I30" s="30"/>
      <c r="J30" s="71">
        <f>J29+1</f>
        <v>9</v>
      </c>
      <c r="K30" s="73">
        <f>$K$24/J30</f>
        <v>115.55555555555556</v>
      </c>
      <c r="L30" s="76">
        <f>IF(AND(MOD(K30,1)=0,MOD(K30,$G$22)=0),"&lt;&lt;","")</f>
      </c>
    </row>
    <row r="31" spans="1:12" ht="13.5" thickBot="1">
      <c r="A31" s="77">
        <f>A30+1</f>
        <v>11</v>
      </c>
      <c r="B31" s="78" t="s">
        <v>47</v>
      </c>
      <c r="C31" s="79">
        <f>$C$24/A31</f>
        <v>96</v>
      </c>
      <c r="D31" s="80">
        <f>IF(AND(MOD(C31,1)=0,MOD(C31,$C$22)=0),"&lt;&lt;","")</f>
      </c>
      <c r="E31" s="73"/>
      <c r="F31" s="77">
        <f>F30+1</f>
        <v>13</v>
      </c>
      <c r="G31" s="79">
        <f>$G$24/F31</f>
        <v>77.53846153846153</v>
      </c>
      <c r="H31" s="80">
        <f>IF(AND(MOD(G31,1)=0,MOD(G31,$G$22)=0),"&lt;&lt;","")</f>
      </c>
      <c r="I31" s="30"/>
      <c r="J31" s="77">
        <f>J30+1</f>
        <v>10</v>
      </c>
      <c r="K31" s="79">
        <f>$K$24/J31</f>
        <v>104</v>
      </c>
      <c r="L31" s="80">
        <f>IF(AND(MOD(K31,1)=0,MOD(K31,$G$22)=0),"&lt;&lt;","")</f>
      </c>
    </row>
    <row r="32" spans="1:12" ht="12.75">
      <c r="A32" s="75"/>
      <c r="B32" s="72"/>
      <c r="C32" s="73"/>
      <c r="D32" s="74"/>
      <c r="E32" s="73"/>
      <c r="F32" s="75"/>
      <c r="G32" s="73"/>
      <c r="H32" s="74"/>
      <c r="I32" s="30"/>
      <c r="J32" s="75"/>
      <c r="K32" s="73"/>
      <c r="L32" s="74"/>
    </row>
    <row r="33" spans="1:12" s="26" customFormat="1" ht="15.75" thickBot="1">
      <c r="A33" s="135" t="s">
        <v>48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 ht="12.75">
      <c r="A34" s="48" t="s">
        <v>49</v>
      </c>
      <c r="B34" s="49"/>
      <c r="C34" s="64">
        <f>C24</f>
        <v>1056</v>
      </c>
      <c r="D34" s="50"/>
      <c r="E34" s="30"/>
      <c r="F34" s="48"/>
      <c r="G34" s="64">
        <f>G24</f>
        <v>1008</v>
      </c>
      <c r="H34" s="50"/>
      <c r="I34" s="30"/>
      <c r="J34" s="48"/>
      <c r="K34" s="64">
        <f>K24</f>
        <v>1040</v>
      </c>
      <c r="L34" s="50"/>
    </row>
    <row r="35" spans="1:12" ht="12.75">
      <c r="A35" s="43" t="s">
        <v>50</v>
      </c>
      <c r="B35" s="30"/>
      <c r="C35" s="45">
        <f>C34/('Input Data'!C10/100)</f>
        <v>1213.7931034482758</v>
      </c>
      <c r="D35" s="44"/>
      <c r="E35" s="30"/>
      <c r="F35" s="43"/>
      <c r="G35" s="45">
        <f>G34/('Input Data'!G10/100)</f>
        <v>1158.6206896551723</v>
      </c>
      <c r="H35" s="44"/>
      <c r="I35" s="30"/>
      <c r="J35" s="43"/>
      <c r="K35" s="45">
        <f>K34/('Input Data'!K10/100)</f>
        <v>1195.4022988505747</v>
      </c>
      <c r="L35" s="44"/>
    </row>
    <row r="36" spans="1:12" ht="12.75">
      <c r="A36" s="43"/>
      <c r="B36" s="30"/>
      <c r="C36" s="45"/>
      <c r="D36" s="44"/>
      <c r="E36" s="30"/>
      <c r="F36" s="43"/>
      <c r="G36" s="45"/>
      <c r="H36" s="44"/>
      <c r="I36" s="30"/>
      <c r="J36" s="43"/>
      <c r="K36" s="45"/>
      <c r="L36" s="44"/>
    </row>
    <row r="37" spans="1:12" ht="12.75">
      <c r="A37" s="43" t="s">
        <v>51</v>
      </c>
      <c r="B37" s="30"/>
      <c r="C37" s="65">
        <f>C7*(C25/C16)</f>
        <v>18</v>
      </c>
      <c r="D37" s="44"/>
      <c r="E37" s="30"/>
      <c r="F37" s="43"/>
      <c r="G37" s="65">
        <f>G7*(G25/G16)</f>
        <v>21</v>
      </c>
      <c r="H37" s="44"/>
      <c r="I37" s="30"/>
      <c r="J37" s="43"/>
      <c r="K37" s="65">
        <f>K7*(K25/K16)</f>
        <v>15</v>
      </c>
      <c r="L37" s="44"/>
    </row>
    <row r="38" spans="1:12" ht="12.75">
      <c r="A38" s="43" t="s">
        <v>52</v>
      </c>
      <c r="B38" s="30"/>
      <c r="C38" s="65">
        <f>C37/C8</f>
        <v>6</v>
      </c>
      <c r="D38" s="44"/>
      <c r="E38" s="30"/>
      <c r="F38" s="43"/>
      <c r="G38" s="65">
        <f>G37/G8</f>
        <v>7</v>
      </c>
      <c r="H38" s="44"/>
      <c r="I38" s="30"/>
      <c r="J38" s="43"/>
      <c r="K38" s="65">
        <f>K37/K8</f>
        <v>5</v>
      </c>
      <c r="L38" s="44"/>
    </row>
    <row r="39" spans="1:12" ht="12.75">
      <c r="A39" s="43"/>
      <c r="B39" s="30"/>
      <c r="C39" s="30"/>
      <c r="D39" s="44"/>
      <c r="E39" s="30"/>
      <c r="F39" s="43"/>
      <c r="G39" s="30"/>
      <c r="H39" s="44"/>
      <c r="I39" s="30"/>
      <c r="J39" s="43"/>
      <c r="K39" s="30"/>
      <c r="L39" s="44"/>
    </row>
    <row r="40" spans="1:12" ht="12.75">
      <c r="A40" s="43" t="s">
        <v>53</v>
      </c>
      <c r="B40" s="30"/>
      <c r="C40" s="31">
        <f>C34/C38</f>
        <v>176</v>
      </c>
      <c r="D40" s="44"/>
      <c r="E40" s="30"/>
      <c r="F40" s="43"/>
      <c r="G40" s="31">
        <f>G34/G38</f>
        <v>144</v>
      </c>
      <c r="H40" s="44"/>
      <c r="I40" s="30"/>
      <c r="J40" s="43"/>
      <c r="K40" s="31">
        <f>K34/K38</f>
        <v>208</v>
      </c>
      <c r="L40" s="44"/>
    </row>
    <row r="41" spans="1:12" ht="13.5" thickBot="1">
      <c r="A41" s="46" t="s">
        <v>54</v>
      </c>
      <c r="B41" s="32"/>
      <c r="C41" s="33">
        <f>C40/'Input Data'!C11</f>
        <v>88</v>
      </c>
      <c r="D41" s="47"/>
      <c r="E41" s="30"/>
      <c r="F41" s="46"/>
      <c r="G41" s="33">
        <f>G40/'Input Data'!G11</f>
        <v>72</v>
      </c>
      <c r="H41" s="47"/>
      <c r="I41" s="30"/>
      <c r="J41" s="46"/>
      <c r="K41" s="33">
        <f>K40/'Input Data'!K11</f>
        <v>104</v>
      </c>
      <c r="L41" s="47"/>
    </row>
    <row r="42" ht="12.75">
      <c r="A42" s="136" t="s">
        <v>30</v>
      </c>
    </row>
    <row r="43" spans="1:12" ht="12.75">
      <c r="A43" s="136" t="s">
        <v>30</v>
      </c>
      <c r="C43" s="162">
        <f>C7</f>
        <v>18</v>
      </c>
      <c r="D43" s="24" t="s">
        <v>140</v>
      </c>
      <c r="G43" s="162">
        <f>G7</f>
        <v>21</v>
      </c>
      <c r="H43" s="24" t="s">
        <v>140</v>
      </c>
      <c r="K43" s="162">
        <f>K7</f>
        <v>15</v>
      </c>
      <c r="L43" s="24" t="s">
        <v>140</v>
      </c>
    </row>
    <row r="44" ht="12.75">
      <c r="A44" s="136" t="s">
        <v>30</v>
      </c>
    </row>
  </sheetData>
  <sheetProtection/>
  <printOptions/>
  <pageMargins left="0.75" right="0.75" top="0.75" bottom="0.75" header="0.5" footer="0.5"/>
  <pageSetup fitToHeight="1" fitToWidth="1" horizontalDpi="300" verticalDpi="300" orientation="landscape" scale="86" r:id="rId1"/>
  <headerFooter alignWithMargins="0">
    <oddFooter>&amp;R&amp;8&amp;F, &amp;A
Dairy Management at Virginia Tech
M.  L. McGilliard, Revised 4/3/08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1.421875" style="0" customWidth="1"/>
    <col min="2" max="2" width="14.57421875" style="0" customWidth="1"/>
    <col min="3" max="3" width="2.57421875" style="0" customWidth="1"/>
    <col min="4" max="4" width="11.28125" style="0" customWidth="1"/>
    <col min="6" max="6" width="11.28125" style="0" customWidth="1"/>
    <col min="7" max="7" width="8.7109375" style="0" customWidth="1"/>
    <col min="8" max="8" width="6.7109375" style="0" customWidth="1"/>
    <col min="9" max="9" width="11.140625" style="0" customWidth="1"/>
    <col min="10" max="10" width="2.421875" style="0" customWidth="1"/>
    <col min="11" max="11" width="10.57421875" style="0" customWidth="1"/>
    <col min="15" max="15" width="6.7109375" style="0" customWidth="1"/>
    <col min="16" max="16" width="11.140625" style="0" customWidth="1"/>
    <col min="17" max="17" width="2.7109375" style="0" customWidth="1"/>
    <col min="18" max="18" width="11.57421875" style="0" customWidth="1"/>
  </cols>
  <sheetData>
    <row r="1" ht="17.25">
      <c r="A1" s="38" t="s">
        <v>55</v>
      </c>
    </row>
    <row r="3" spans="1:16" ht="15">
      <c r="A3" s="26" t="str">
        <f>'Comparison Sizing'!A3</f>
        <v>Alternative 1</v>
      </c>
      <c r="B3" s="25"/>
      <c r="C3" s="25"/>
      <c r="D3" s="25"/>
      <c r="E3" s="25"/>
      <c r="F3" s="25"/>
      <c r="G3" s="25"/>
      <c r="H3" s="25"/>
      <c r="I3" s="26" t="str">
        <f>'Comparison Sizing'!G3</f>
        <v>Alternative 2</v>
      </c>
      <c r="P3" s="26" t="str">
        <f>'Comparison Sizing'!K3</f>
        <v>Alternative 3</v>
      </c>
    </row>
    <row r="4" spans="1:21" ht="15.75" thickBot="1">
      <c r="A4" s="26"/>
      <c r="B4" s="25"/>
      <c r="C4" s="25"/>
      <c r="D4" s="25"/>
      <c r="E4" s="25" t="str">
        <f>'Comparison Sizing'!C21</f>
        <v>D-22</v>
      </c>
      <c r="F4" s="25"/>
      <c r="G4" s="25"/>
      <c r="H4" s="25"/>
      <c r="I4" s="25"/>
      <c r="J4" s="25"/>
      <c r="N4" t="str">
        <f>'Comparison Sizing'!G21</f>
        <v>D-18</v>
      </c>
      <c r="U4" t="str">
        <f>'Comparison Sizing'!K21</f>
        <v>D-26</v>
      </c>
    </row>
    <row r="5" spans="1:23" s="24" customFormat="1" ht="12.75">
      <c r="A5" s="39" t="s">
        <v>56</v>
      </c>
      <c r="B5" s="40"/>
      <c r="C5" s="41" t="s">
        <v>57</v>
      </c>
      <c r="D5" s="40"/>
      <c r="E5" s="42"/>
      <c r="I5" s="39" t="s">
        <v>56</v>
      </c>
      <c r="J5" s="40"/>
      <c r="K5" s="40"/>
      <c r="L5" s="41" t="s">
        <v>57</v>
      </c>
      <c r="M5" s="40"/>
      <c r="N5" s="42"/>
      <c r="O5" s="63"/>
      <c r="P5" s="39" t="s">
        <v>56</v>
      </c>
      <c r="Q5" s="40"/>
      <c r="R5" s="40"/>
      <c r="S5" s="41" t="s">
        <v>57</v>
      </c>
      <c r="T5" s="40"/>
      <c r="U5" s="42"/>
      <c r="V5" s="63"/>
      <c r="W5" s="63"/>
    </row>
    <row r="6" spans="1:23" ht="12.75">
      <c r="A6" s="43" t="s">
        <v>58</v>
      </c>
      <c r="B6" s="30"/>
      <c r="C6" s="137" t="s">
        <v>59</v>
      </c>
      <c r="D6" s="31">
        <f>IF(C6="x",'Comparison Sizing'!C22*2*'Input Data'!C15,0)</f>
        <v>440000</v>
      </c>
      <c r="E6" s="44"/>
      <c r="I6" s="43" t="s">
        <v>58</v>
      </c>
      <c r="J6" s="30"/>
      <c r="K6" s="30"/>
      <c r="L6" s="137" t="s">
        <v>59</v>
      </c>
      <c r="M6" s="31">
        <f>IF(L6="x",'Comparison Sizing'!G22*2*'Input Data'!G15,0)</f>
        <v>360000</v>
      </c>
      <c r="N6" s="44"/>
      <c r="O6" s="30"/>
      <c r="P6" s="43" t="s">
        <v>58</v>
      </c>
      <c r="Q6" s="30"/>
      <c r="R6" s="30"/>
      <c r="S6" s="137" t="s">
        <v>59</v>
      </c>
      <c r="T6" s="31">
        <f>IF(S6="x",'Comparison Sizing'!K22*2*'Input Data'!K15,0)</f>
        <v>520000</v>
      </c>
      <c r="U6" s="44"/>
      <c r="V6" s="30"/>
      <c r="W6" s="30"/>
    </row>
    <row r="7" spans="1:23" ht="12.75">
      <c r="A7" s="43" t="s">
        <v>60</v>
      </c>
      <c r="B7" s="30"/>
      <c r="C7" s="137" t="s">
        <v>59</v>
      </c>
      <c r="D7" s="31">
        <f>IF(C7="x",'Comparison Sizing'!C22*2*'Input Data'!C16,0)</f>
        <v>308000</v>
      </c>
      <c r="E7" s="44"/>
      <c r="I7" s="43" t="s">
        <v>60</v>
      </c>
      <c r="J7" s="30"/>
      <c r="K7" s="30"/>
      <c r="L7" s="137" t="s">
        <v>59</v>
      </c>
      <c r="M7" s="31">
        <f>IF(L7="x",'Comparison Sizing'!G22*2*'Input Data'!G16,0)</f>
        <v>252000</v>
      </c>
      <c r="N7" s="44"/>
      <c r="O7" s="30"/>
      <c r="P7" s="43" t="s">
        <v>60</v>
      </c>
      <c r="Q7" s="30"/>
      <c r="R7" s="30"/>
      <c r="S7" s="137" t="s">
        <v>59</v>
      </c>
      <c r="T7" s="31">
        <f>IF(S7="x",'Comparison Sizing'!K22*2*'Input Data'!K16,0)</f>
        <v>364000</v>
      </c>
      <c r="U7" s="44"/>
      <c r="V7" s="30"/>
      <c r="W7" s="30"/>
    </row>
    <row r="8" spans="1:23" ht="12.75">
      <c r="A8" s="43" t="s">
        <v>61</v>
      </c>
      <c r="B8" s="31">
        <f>ROUNDUP('Input Data'!C38*'Comparison Sizing'!C34/8.6,-3)</f>
        <v>14000</v>
      </c>
      <c r="C8" s="137" t="s">
        <v>59</v>
      </c>
      <c r="D8" s="31">
        <f>IF(C8="x",IF(B8&lt;=7000,'Input Data'!C17+B8*'Input Data'!C18,2*'Input Data'!C17+B8*'Input Data'!C18),0)</f>
        <v>126000</v>
      </c>
      <c r="E8" s="116"/>
      <c r="I8" s="43" t="s">
        <v>61</v>
      </c>
      <c r="J8" s="30"/>
      <c r="K8" s="31">
        <f>ROUNDUP('Input Data'!G38*'Comparison Sizing'!G34/8.6,-3)</f>
        <v>13000</v>
      </c>
      <c r="L8" s="137" t="s">
        <v>59</v>
      </c>
      <c r="M8" s="31">
        <f>IF(L8="x",IF(K8&lt;=7000,'Input Data'!G17+K8*'Input Data'!G18,2*'Input Data'!G17+K8*'Input Data'!G18),0)</f>
        <v>119000</v>
      </c>
      <c r="N8" s="44"/>
      <c r="O8" s="30"/>
      <c r="P8" s="43" t="s">
        <v>61</v>
      </c>
      <c r="Q8" s="30"/>
      <c r="R8" s="31">
        <f>ROUNDUP('Input Data'!K38*'Comparison Sizing'!K34/8.6,-3)</f>
        <v>14000</v>
      </c>
      <c r="S8" s="137" t="s">
        <v>59</v>
      </c>
      <c r="T8" s="31">
        <f>IF(S8="x",IF(R8&lt;=7000,'Input Data'!K17+R8*'Input Data'!K18,2*'Input Data'!K17+R8*'Input Data'!K18),0)</f>
        <v>126000</v>
      </c>
      <c r="U8" s="44"/>
      <c r="V8" s="30"/>
      <c r="W8" s="30"/>
    </row>
    <row r="9" spans="1:23" ht="12.75">
      <c r="A9" s="43" t="s">
        <v>62</v>
      </c>
      <c r="B9" s="30"/>
      <c r="C9" s="137" t="s">
        <v>59</v>
      </c>
      <c r="D9" s="31">
        <f>IF(C9="x",'Input Data'!C19,0)</f>
        <v>20000</v>
      </c>
      <c r="E9" s="44"/>
      <c r="I9" s="43" t="s">
        <v>62</v>
      </c>
      <c r="J9" s="30"/>
      <c r="K9" s="30"/>
      <c r="L9" s="137" t="s">
        <v>59</v>
      </c>
      <c r="M9" s="31">
        <f>IF(L9="x",'Input Data'!G19,0)</f>
        <v>20000</v>
      </c>
      <c r="N9" s="44"/>
      <c r="O9" s="30"/>
      <c r="P9" s="43" t="s">
        <v>62</v>
      </c>
      <c r="Q9" s="30"/>
      <c r="R9" s="30"/>
      <c r="S9" s="137" t="s">
        <v>59</v>
      </c>
      <c r="T9" s="31">
        <f>IF(S9="x",'Input Data'!K19,0)</f>
        <v>20000</v>
      </c>
      <c r="U9" s="44"/>
      <c r="V9" s="30"/>
      <c r="W9" s="30"/>
    </row>
    <row r="10" spans="1:23" ht="12.75">
      <c r="A10" s="43" t="s">
        <v>63</v>
      </c>
      <c r="B10" s="30"/>
      <c r="C10" s="137" t="s">
        <v>59</v>
      </c>
      <c r="D10" s="31">
        <f>IF(C10="x",'Input Data'!C20,0)</f>
        <v>15000</v>
      </c>
      <c r="E10" s="44"/>
      <c r="I10" s="43" t="s">
        <v>63</v>
      </c>
      <c r="J10" s="30"/>
      <c r="K10" s="30"/>
      <c r="L10" s="137" t="s">
        <v>59</v>
      </c>
      <c r="M10" s="31">
        <f>IF(L10="x",'Input Data'!G20,0)</f>
        <v>15000</v>
      </c>
      <c r="N10" s="44"/>
      <c r="O10" s="30"/>
      <c r="P10" s="43" t="s">
        <v>63</v>
      </c>
      <c r="Q10" s="30"/>
      <c r="R10" s="30"/>
      <c r="S10" s="137" t="s">
        <v>59</v>
      </c>
      <c r="T10" s="31">
        <f>IF(S10="x",'Input Data'!K20,0)</f>
        <v>15000</v>
      </c>
      <c r="U10" s="44"/>
      <c r="V10" s="30"/>
      <c r="W10" s="30"/>
    </row>
    <row r="11" spans="1:23" ht="12.75">
      <c r="A11" s="43" t="s">
        <v>64</v>
      </c>
      <c r="B11" s="30"/>
      <c r="C11" s="137" t="s">
        <v>59</v>
      </c>
      <c r="D11" s="31">
        <f>IF(C11="x",'Input Data'!C21,0)</f>
        <v>20000</v>
      </c>
      <c r="E11" s="44"/>
      <c r="I11" s="43" t="s">
        <v>64</v>
      </c>
      <c r="J11" s="30"/>
      <c r="K11" s="30"/>
      <c r="L11" s="137" t="s">
        <v>59</v>
      </c>
      <c r="M11" s="31">
        <f>IF(L11="x",'Input Data'!G21,0)</f>
        <v>20000</v>
      </c>
      <c r="N11" s="44"/>
      <c r="O11" s="30"/>
      <c r="P11" s="43" t="s">
        <v>64</v>
      </c>
      <c r="Q11" s="30"/>
      <c r="R11" s="30"/>
      <c r="S11" s="137" t="s">
        <v>59</v>
      </c>
      <c r="T11" s="31">
        <f>IF(S11="x",'Input Data'!K21,0)</f>
        <v>20000</v>
      </c>
      <c r="U11" s="44"/>
      <c r="V11" s="30"/>
      <c r="W11" s="30"/>
    </row>
    <row r="12" spans="1:23" ht="12.75">
      <c r="A12" s="43" t="s">
        <v>65</v>
      </c>
      <c r="B12" s="30"/>
      <c r="C12" s="137"/>
      <c r="D12" s="31">
        <f>IF(C12="x",'Input Data'!C22,0)</f>
        <v>0</v>
      </c>
      <c r="E12" s="44"/>
      <c r="I12" s="43" t="s">
        <v>65</v>
      </c>
      <c r="J12" s="30"/>
      <c r="K12" s="30"/>
      <c r="L12" s="137"/>
      <c r="M12" s="31">
        <f>IF(L12="x",'Input Data'!G22,0)</f>
        <v>0</v>
      </c>
      <c r="N12" s="44"/>
      <c r="O12" s="30"/>
      <c r="P12" s="43" t="s">
        <v>65</v>
      </c>
      <c r="Q12" s="30"/>
      <c r="R12" s="30"/>
      <c r="S12" s="137"/>
      <c r="T12" s="31">
        <f>IF(S12="x",'Input Data'!K22,0)</f>
        <v>0</v>
      </c>
      <c r="U12" s="44"/>
      <c r="V12" s="30"/>
      <c r="W12" s="30"/>
    </row>
    <row r="13" spans="1:23" ht="13.5" thickBot="1">
      <c r="A13" s="46" t="s">
        <v>66</v>
      </c>
      <c r="B13" s="32"/>
      <c r="C13" s="138"/>
      <c r="D13" s="33">
        <f>IF(C13="x",'Input Data'!C23+'Input Data'!C24*'Comparison Sizing'!C22*2+'Input Data'!C25*'Comparison Sizing'!C34,0)</f>
        <v>0</v>
      </c>
      <c r="E13" s="47"/>
      <c r="I13" s="46" t="s">
        <v>66</v>
      </c>
      <c r="J13" s="32"/>
      <c r="K13" s="32"/>
      <c r="L13" s="138"/>
      <c r="M13" s="33">
        <f>IF(L13="x",'Input Data'!G23+'Input Data'!G24*'Comparison Sizing'!G22*2+'Input Data'!G25*'Comparison Sizing'!G34,0)</f>
        <v>0</v>
      </c>
      <c r="N13" s="47"/>
      <c r="O13" s="30"/>
      <c r="P13" s="46" t="s">
        <v>66</v>
      </c>
      <c r="Q13" s="32"/>
      <c r="R13" s="32"/>
      <c r="S13" s="138"/>
      <c r="T13" s="33">
        <f>IF(S13="x",'Input Data'!K23+'Input Data'!K24*'Comparison Sizing'!K22*2+'Input Data'!K25*'Comparison Sizing'!K34,0)</f>
        <v>0</v>
      </c>
      <c r="U13" s="47"/>
      <c r="V13" s="30"/>
      <c r="W13" s="30"/>
    </row>
    <row r="15" ht="12.75">
      <c r="A15" s="29" t="s">
        <v>67</v>
      </c>
    </row>
    <row r="16" ht="13.5" thickBot="1">
      <c r="A16" s="29"/>
    </row>
    <row r="17" spans="1:23" ht="12.75">
      <c r="A17" s="48" t="s">
        <v>68</v>
      </c>
      <c r="B17" s="49"/>
      <c r="C17" s="49"/>
      <c r="D17" s="49"/>
      <c r="E17" s="50"/>
      <c r="F17" s="30"/>
      <c r="G17" s="30"/>
      <c r="H17" s="30"/>
      <c r="I17" s="48" t="s">
        <v>68</v>
      </c>
      <c r="J17" s="49"/>
      <c r="K17" s="49"/>
      <c r="L17" s="49"/>
      <c r="M17" s="49"/>
      <c r="N17" s="50"/>
      <c r="O17" s="30"/>
      <c r="P17" s="48" t="s">
        <v>68</v>
      </c>
      <c r="Q17" s="49"/>
      <c r="R17" s="49"/>
      <c r="S17" s="49"/>
      <c r="T17" s="49"/>
      <c r="U17" s="50"/>
      <c r="V17" s="30"/>
      <c r="W17" s="30"/>
    </row>
    <row r="18" spans="1:23" ht="12.75">
      <c r="A18" s="43" t="s">
        <v>69</v>
      </c>
      <c r="B18" s="45">
        <f>SUM(D6:D13)-D7</f>
        <v>621000</v>
      </c>
      <c r="C18" s="30"/>
      <c r="D18" s="31">
        <f>-PMT('Input Data'!C27/100,'Input Data'!C28,B18)</f>
        <v>59828.560605340754</v>
      </c>
      <c r="E18" s="44"/>
      <c r="F18" s="30"/>
      <c r="G18" s="30"/>
      <c r="H18" s="30"/>
      <c r="I18" s="43" t="s">
        <v>69</v>
      </c>
      <c r="J18" s="30"/>
      <c r="K18" s="45">
        <f>SUM(M6:M13)-M7</f>
        <v>534000</v>
      </c>
      <c r="L18" s="30"/>
      <c r="M18" s="31">
        <f>-PMT('Input Data'!G27/100,'Input Data'!G28,K18)</f>
        <v>51446.781583336495</v>
      </c>
      <c r="N18" s="44"/>
      <c r="O18" s="30"/>
      <c r="P18" s="43" t="s">
        <v>69</v>
      </c>
      <c r="Q18" s="30"/>
      <c r="R18" s="45">
        <f>SUM(T6:T13)-T7</f>
        <v>701000</v>
      </c>
      <c r="S18" s="30"/>
      <c r="T18" s="31">
        <f>-PMT('Input Data'!K27/100,'Input Data'!K28,R18)</f>
        <v>67535.9436140803</v>
      </c>
      <c r="U18" s="44"/>
      <c r="V18" s="30"/>
      <c r="W18" s="30"/>
    </row>
    <row r="19" spans="1:23" ht="12.75">
      <c r="A19" s="43" t="s">
        <v>70</v>
      </c>
      <c r="B19" s="31">
        <f>IF('Input Data'!C29=0,0,B18*(1-'Input Data'!C29/'Input Data'!C28)^'Input Data'!C28)</f>
        <v>220619.1715928637</v>
      </c>
      <c r="C19" s="30"/>
      <c r="D19" s="31">
        <f>PMT('Input Data'!C27/100,'Input Data'!C28,,B19)</f>
        <v>-10223.997102069727</v>
      </c>
      <c r="E19" s="44"/>
      <c r="F19" s="30"/>
      <c r="G19" s="30"/>
      <c r="H19" s="30"/>
      <c r="I19" s="43" t="s">
        <v>70</v>
      </c>
      <c r="J19" s="30"/>
      <c r="K19" s="31">
        <f>IF('Input Data'!G29=0,0,K18*(1-'Input Data'!G29/'Input Data'!G28)^'Input Data'!G28)</f>
        <v>189711.17170787315</v>
      </c>
      <c r="L19" s="30"/>
      <c r="M19" s="31">
        <f>PMT('Input Data'!G27/100,'Input Data'!G28,,K19)</f>
        <v>-8791.649681973</v>
      </c>
      <c r="N19" s="44"/>
      <c r="O19" s="30"/>
      <c r="P19" s="43" t="s">
        <v>70</v>
      </c>
      <c r="Q19" s="30"/>
      <c r="R19" s="31">
        <f>IF('Input Data'!K29=0,0,R18*(1-'Input Data'!K29/'Input Data'!K28)^'Input Data'!K28)</f>
        <v>249040.32091239525</v>
      </c>
      <c r="S19" s="30"/>
      <c r="T19" s="31">
        <f>PMT('Input Data'!K27/100,'Input Data'!K28,,R19)</f>
        <v>-11541.098178020737</v>
      </c>
      <c r="U19" s="44"/>
      <c r="V19" s="30"/>
      <c r="W19" s="30"/>
    </row>
    <row r="20" spans="1:23" ht="12.75">
      <c r="A20" s="43" t="s">
        <v>71</v>
      </c>
      <c r="B20" s="30"/>
      <c r="C20" s="30"/>
      <c r="D20" s="45">
        <f>'Input Data'!C30/100*B18</f>
        <v>18630</v>
      </c>
      <c r="E20" s="44"/>
      <c r="F20" s="30"/>
      <c r="G20" s="30"/>
      <c r="H20" s="30"/>
      <c r="I20" s="43" t="s">
        <v>71</v>
      </c>
      <c r="J20" s="30"/>
      <c r="K20" s="30"/>
      <c r="L20" s="30"/>
      <c r="M20" s="45">
        <f>'Input Data'!G30/100*K18</f>
        <v>16020</v>
      </c>
      <c r="N20" s="44"/>
      <c r="O20" s="30"/>
      <c r="P20" s="43" t="s">
        <v>71</v>
      </c>
      <c r="Q20" s="30"/>
      <c r="R20" s="30"/>
      <c r="S20" s="30"/>
      <c r="T20" s="45">
        <f>'Input Data'!K30/100*R18</f>
        <v>21030</v>
      </c>
      <c r="U20" s="44"/>
      <c r="V20" s="30"/>
      <c r="W20" s="30"/>
    </row>
    <row r="21" spans="1:23" ht="12.75">
      <c r="A21" s="43" t="s">
        <v>72</v>
      </c>
      <c r="B21" s="30"/>
      <c r="C21" s="30"/>
      <c r="D21" s="45">
        <f>'Input Data'!C31/100*B18</f>
        <v>9315</v>
      </c>
      <c r="E21" s="44"/>
      <c r="F21" s="30"/>
      <c r="G21" s="30"/>
      <c r="H21" s="30"/>
      <c r="I21" s="43" t="s">
        <v>72</v>
      </c>
      <c r="J21" s="30"/>
      <c r="K21" s="30"/>
      <c r="L21" s="30"/>
      <c r="M21" s="45">
        <f>'Input Data'!G31/100*K18</f>
        <v>8010</v>
      </c>
      <c r="N21" s="44"/>
      <c r="O21" s="30"/>
      <c r="P21" s="43" t="s">
        <v>72</v>
      </c>
      <c r="Q21" s="30"/>
      <c r="R21" s="30"/>
      <c r="S21" s="30"/>
      <c r="T21" s="45">
        <f>'Input Data'!K31/100*R18</f>
        <v>10515</v>
      </c>
      <c r="U21" s="44"/>
      <c r="V21" s="30"/>
      <c r="W21" s="30"/>
    </row>
    <row r="22" spans="1:23" ht="12.75">
      <c r="A22" s="43"/>
      <c r="B22" s="13" t="s">
        <v>73</v>
      </c>
      <c r="C22" s="30"/>
      <c r="D22" s="45">
        <f>SUM(D18:D21)</f>
        <v>77549.56350327103</v>
      </c>
      <c r="E22" s="44"/>
      <c r="F22" s="30"/>
      <c r="G22" s="30"/>
      <c r="H22" s="30"/>
      <c r="I22" s="43"/>
      <c r="J22" s="30"/>
      <c r="K22" s="13" t="s">
        <v>73</v>
      </c>
      <c r="L22" s="30"/>
      <c r="M22" s="45">
        <f>SUM(M18:M21)</f>
        <v>66685.1319013635</v>
      </c>
      <c r="N22" s="44"/>
      <c r="O22" s="30"/>
      <c r="P22" s="43"/>
      <c r="Q22" s="30"/>
      <c r="R22" s="13" t="s">
        <v>73</v>
      </c>
      <c r="S22" s="30"/>
      <c r="T22" s="45">
        <f>SUM(T18:T21)</f>
        <v>87539.84543605956</v>
      </c>
      <c r="U22" s="44"/>
      <c r="V22" s="30"/>
      <c r="W22" s="30"/>
    </row>
    <row r="23" spans="1:23" ht="12.75">
      <c r="A23" s="43"/>
      <c r="B23" s="30"/>
      <c r="C23" s="30"/>
      <c r="D23" s="30"/>
      <c r="E23" s="44"/>
      <c r="F23" s="30"/>
      <c r="G23" s="30"/>
      <c r="H23" s="30"/>
      <c r="I23" s="43"/>
      <c r="J23" s="30"/>
      <c r="K23" s="30"/>
      <c r="L23" s="30"/>
      <c r="M23" s="30"/>
      <c r="N23" s="44"/>
      <c r="O23" s="30"/>
      <c r="P23" s="43"/>
      <c r="Q23" s="30"/>
      <c r="R23" s="30"/>
      <c r="S23" s="30"/>
      <c r="T23" s="30"/>
      <c r="U23" s="44"/>
      <c r="V23" s="30"/>
      <c r="W23" s="30"/>
    </row>
    <row r="24" spans="1:23" ht="12.75">
      <c r="A24" s="43" t="s">
        <v>60</v>
      </c>
      <c r="B24" s="30"/>
      <c r="C24" s="30"/>
      <c r="D24" s="30"/>
      <c r="E24" s="44"/>
      <c r="F24" s="30"/>
      <c r="G24" s="30"/>
      <c r="H24" s="30"/>
      <c r="I24" s="43" t="s">
        <v>60</v>
      </c>
      <c r="J24" s="30"/>
      <c r="K24" s="30"/>
      <c r="L24" s="30"/>
      <c r="M24" s="30"/>
      <c r="N24" s="44"/>
      <c r="O24" s="30"/>
      <c r="P24" s="43" t="s">
        <v>60</v>
      </c>
      <c r="Q24" s="30"/>
      <c r="R24" s="30"/>
      <c r="S24" s="30"/>
      <c r="T24" s="30"/>
      <c r="U24" s="44"/>
      <c r="V24" s="30"/>
      <c r="W24" s="30"/>
    </row>
    <row r="25" spans="1:23" ht="12.75">
      <c r="A25" s="43" t="s">
        <v>69</v>
      </c>
      <c r="B25" s="45">
        <f>D7</f>
        <v>308000</v>
      </c>
      <c r="C25" s="30"/>
      <c r="D25" s="31">
        <f>-PMT('Input Data'!C27/100,'Input Data'!C32,B25)</f>
        <v>39887.40908936065</v>
      </c>
      <c r="E25" s="44"/>
      <c r="F25" s="30"/>
      <c r="G25" s="30"/>
      <c r="H25" s="30"/>
      <c r="I25" s="43" t="s">
        <v>69</v>
      </c>
      <c r="J25" s="30"/>
      <c r="K25" s="45">
        <f>M7</f>
        <v>252000</v>
      </c>
      <c r="L25" s="30"/>
      <c r="M25" s="31">
        <f>-PMT('Input Data'!G27/100,'Input Data'!G32,K25)</f>
        <v>32635.152891295078</v>
      </c>
      <c r="N25" s="44"/>
      <c r="O25" s="30"/>
      <c r="P25" s="43" t="s">
        <v>69</v>
      </c>
      <c r="Q25" s="30"/>
      <c r="R25" s="45">
        <f>T7</f>
        <v>364000</v>
      </c>
      <c r="S25" s="30"/>
      <c r="T25" s="31">
        <f>-PMT('Input Data'!K27/100,'Input Data'!K32,R25)</f>
        <v>47139.66528742623</v>
      </c>
      <c r="U25" s="44"/>
      <c r="V25" s="30"/>
      <c r="W25" s="30"/>
    </row>
    <row r="26" spans="1:23" ht="12.75">
      <c r="A26" s="43" t="s">
        <v>70</v>
      </c>
      <c r="B26" s="31">
        <f>IF('Input Data'!C33=0,0,B25*(1-'Input Data'!C33/'Input Data'!C32)^'Input Data'!C32)</f>
        <v>0</v>
      </c>
      <c r="C26" s="30"/>
      <c r="D26" s="31">
        <f>PMT('Input Data'!C27/100,'Input Data'!C32,,B26)</f>
        <v>0</v>
      </c>
      <c r="E26" s="44"/>
      <c r="F26" s="30"/>
      <c r="G26" s="30"/>
      <c r="H26" s="30"/>
      <c r="I26" s="43" t="s">
        <v>70</v>
      </c>
      <c r="J26" s="30"/>
      <c r="K26" s="31">
        <f>IF('Input Data'!K33=0,0,K25*(1-'Input Data'!K33/'Input Data'!K32)^'Input Data'!K32)</f>
        <v>0</v>
      </c>
      <c r="L26" s="30"/>
      <c r="M26" s="31">
        <f>PMT('Input Data'!G27/100,'Input Data'!G32,,K26)</f>
        <v>0</v>
      </c>
      <c r="N26" s="44"/>
      <c r="O26" s="30"/>
      <c r="P26" s="43" t="s">
        <v>70</v>
      </c>
      <c r="Q26" s="30"/>
      <c r="R26" s="31">
        <f>IF('Input Data'!S33=0,0,R25*(1-'Input Data'!S33/'Input Data'!S32)^'Input Data'!S32)</f>
        <v>0</v>
      </c>
      <c r="S26" s="30"/>
      <c r="T26" s="31">
        <f>PMT('Input Data'!K27/100,'Input Data'!K32,,R26)</f>
        <v>0</v>
      </c>
      <c r="U26" s="44"/>
      <c r="V26" s="30"/>
      <c r="W26" s="30"/>
    </row>
    <row r="27" spans="1:23" ht="12.75">
      <c r="A27" s="43" t="s">
        <v>71</v>
      </c>
      <c r="B27" s="30"/>
      <c r="C27" s="30"/>
      <c r="D27" s="45">
        <f>'Input Data'!C34/100*B25</f>
        <v>15400</v>
      </c>
      <c r="E27" s="44"/>
      <c r="F27" s="30"/>
      <c r="G27" s="30"/>
      <c r="H27" s="30"/>
      <c r="I27" s="43" t="s">
        <v>71</v>
      </c>
      <c r="J27" s="30"/>
      <c r="K27" s="30"/>
      <c r="L27" s="30"/>
      <c r="M27" s="45">
        <f>'Input Data'!G34/100*K25</f>
        <v>12600</v>
      </c>
      <c r="N27" s="44"/>
      <c r="O27" s="30"/>
      <c r="P27" s="43" t="s">
        <v>71</v>
      </c>
      <c r="Q27" s="30"/>
      <c r="R27" s="30"/>
      <c r="S27" s="30"/>
      <c r="T27" s="45">
        <f>'Input Data'!K34/100*R25</f>
        <v>18200</v>
      </c>
      <c r="U27" s="44"/>
      <c r="V27" s="30"/>
      <c r="W27" s="30"/>
    </row>
    <row r="28" spans="1:23" ht="12.75">
      <c r="A28" s="43" t="s">
        <v>72</v>
      </c>
      <c r="B28" s="30"/>
      <c r="C28" s="30"/>
      <c r="D28" s="45">
        <f>'Input Data'!C35/100*B25</f>
        <v>4620</v>
      </c>
      <c r="E28" s="44"/>
      <c r="F28" s="30"/>
      <c r="G28" s="30"/>
      <c r="H28" s="30"/>
      <c r="I28" s="43" t="s">
        <v>72</v>
      </c>
      <c r="J28" s="30"/>
      <c r="K28" s="30"/>
      <c r="L28" s="30"/>
      <c r="M28" s="45">
        <f>'Input Data'!G35/100*K25</f>
        <v>3780</v>
      </c>
      <c r="N28" s="44"/>
      <c r="O28" s="30"/>
      <c r="P28" s="43" t="s">
        <v>72</v>
      </c>
      <c r="Q28" s="30"/>
      <c r="R28" s="30"/>
      <c r="S28" s="30"/>
      <c r="T28" s="45">
        <f>'Input Data'!K35/100*R25</f>
        <v>5460</v>
      </c>
      <c r="U28" s="44"/>
      <c r="V28" s="30"/>
      <c r="W28" s="30"/>
    </row>
    <row r="29" spans="1:23" ht="12.75">
      <c r="A29" s="43"/>
      <c r="B29" s="13" t="s">
        <v>74</v>
      </c>
      <c r="C29" s="30"/>
      <c r="D29" s="45">
        <f>SUM(D25:D28)</f>
        <v>59907.40908936065</v>
      </c>
      <c r="E29" s="44"/>
      <c r="F29" s="30"/>
      <c r="G29" s="30"/>
      <c r="H29" s="30"/>
      <c r="I29" s="43"/>
      <c r="J29" s="30"/>
      <c r="K29" s="13" t="s">
        <v>74</v>
      </c>
      <c r="L29" s="30"/>
      <c r="M29" s="45">
        <f>SUM(M25:M28)</f>
        <v>49015.152891295074</v>
      </c>
      <c r="N29" s="44"/>
      <c r="O29" s="30"/>
      <c r="P29" s="43"/>
      <c r="Q29" s="30"/>
      <c r="R29" s="13" t="s">
        <v>74</v>
      </c>
      <c r="S29" s="30"/>
      <c r="T29" s="45">
        <f>SUM(T25:T28)</f>
        <v>70799.66528742624</v>
      </c>
      <c r="U29" s="44"/>
      <c r="V29" s="30"/>
      <c r="W29" s="30"/>
    </row>
    <row r="30" spans="1:23" ht="12.75">
      <c r="A30" s="43"/>
      <c r="B30" s="30"/>
      <c r="C30" s="30"/>
      <c r="D30" s="30"/>
      <c r="E30" s="44"/>
      <c r="F30" s="30"/>
      <c r="G30" s="30"/>
      <c r="H30" s="30"/>
      <c r="I30" s="43"/>
      <c r="J30" s="30"/>
      <c r="K30" s="30"/>
      <c r="L30" s="30"/>
      <c r="M30" s="30"/>
      <c r="N30" s="44"/>
      <c r="O30" s="30"/>
      <c r="P30" s="43"/>
      <c r="Q30" s="30"/>
      <c r="R30" s="30"/>
      <c r="S30" s="30"/>
      <c r="T30" s="30"/>
      <c r="U30" s="44"/>
      <c r="V30" s="30"/>
      <c r="W30" s="30"/>
    </row>
    <row r="31" spans="1:23" ht="12.75">
      <c r="A31" s="43" t="s">
        <v>75</v>
      </c>
      <c r="B31" s="30"/>
      <c r="C31" s="30"/>
      <c r="D31" s="45">
        <f>D22+D29</f>
        <v>137456.97259263168</v>
      </c>
      <c r="E31" s="44"/>
      <c r="F31" s="30"/>
      <c r="G31" s="30"/>
      <c r="H31" s="30"/>
      <c r="I31" s="43" t="s">
        <v>75</v>
      </c>
      <c r="J31" s="30"/>
      <c r="K31" s="30"/>
      <c r="L31" s="30"/>
      <c r="M31" s="45">
        <f>M22+M29</f>
        <v>115700.28479265857</v>
      </c>
      <c r="N31" s="44"/>
      <c r="O31" s="30"/>
      <c r="P31" s="43" t="s">
        <v>75</v>
      </c>
      <c r="Q31" s="30"/>
      <c r="R31" s="30"/>
      <c r="S31" s="30"/>
      <c r="T31" s="45">
        <f>T22+T29</f>
        <v>158339.5107234858</v>
      </c>
      <c r="U31" s="44"/>
      <c r="V31" s="30"/>
      <c r="W31" s="30"/>
    </row>
    <row r="32" spans="1:23" ht="12.75">
      <c r="A32" s="43"/>
      <c r="B32" s="30"/>
      <c r="C32" s="30"/>
      <c r="D32" s="30"/>
      <c r="E32" s="44"/>
      <c r="F32" s="30"/>
      <c r="G32" s="30"/>
      <c r="H32" s="30"/>
      <c r="I32" s="43"/>
      <c r="J32" s="30"/>
      <c r="K32" s="30"/>
      <c r="L32" s="30"/>
      <c r="M32" s="30"/>
      <c r="N32" s="44"/>
      <c r="O32" s="30"/>
      <c r="P32" s="43"/>
      <c r="Q32" s="30"/>
      <c r="R32" s="30"/>
      <c r="S32" s="30"/>
      <c r="T32" s="30"/>
      <c r="U32" s="44"/>
      <c r="V32" s="30"/>
      <c r="W32" s="30"/>
    </row>
    <row r="33" spans="1:23" ht="12.75">
      <c r="A33" s="43" t="s">
        <v>76</v>
      </c>
      <c r="B33" s="30"/>
      <c r="C33" s="30"/>
      <c r="D33" s="30"/>
      <c r="E33" s="44"/>
      <c r="F33" s="30"/>
      <c r="G33" s="30"/>
      <c r="H33" s="30"/>
      <c r="I33" s="43" t="s">
        <v>76</v>
      </c>
      <c r="J33" s="30"/>
      <c r="K33" s="30"/>
      <c r="L33" s="30"/>
      <c r="M33" s="30"/>
      <c r="N33" s="44"/>
      <c r="O33" s="30"/>
      <c r="P33" s="43" t="s">
        <v>76</v>
      </c>
      <c r="Q33" s="30"/>
      <c r="R33" s="30"/>
      <c r="S33" s="30"/>
      <c r="T33" s="30"/>
      <c r="U33" s="44"/>
      <c r="V33" s="30"/>
      <c r="W33" s="30"/>
    </row>
    <row r="34" spans="1:23" ht="13.5" thickBot="1">
      <c r="A34" s="51" t="s">
        <v>77</v>
      </c>
      <c r="B34" s="52">
        <f>'Input Data'!C11*('Comparison Sizing'!C37+'Comparison Sizing'!C9)*365</f>
        <v>14235</v>
      </c>
      <c r="C34" s="32"/>
      <c r="D34" s="33">
        <f>B34*'Input Data'!C40</f>
        <v>170820</v>
      </c>
      <c r="E34" s="47"/>
      <c r="F34" s="30"/>
      <c r="G34" s="30"/>
      <c r="H34" s="30"/>
      <c r="I34" s="51" t="s">
        <v>77</v>
      </c>
      <c r="J34" s="32"/>
      <c r="K34" s="52">
        <f>'Input Data'!G11*('Comparison Sizing'!G37+'Comparison Sizing'!G9)*365</f>
        <v>16425</v>
      </c>
      <c r="L34" s="32"/>
      <c r="M34" s="33">
        <f>K34*'Input Data'!G40</f>
        <v>197100</v>
      </c>
      <c r="N34" s="47"/>
      <c r="O34" s="30"/>
      <c r="P34" s="51" t="s">
        <v>77</v>
      </c>
      <c r="Q34" s="32"/>
      <c r="R34" s="52">
        <f>'Input Data'!K11*('Comparison Sizing'!K37+'Comparison Sizing'!K9)*365</f>
        <v>12045</v>
      </c>
      <c r="S34" s="32"/>
      <c r="T34" s="33">
        <f>R34*'Input Data'!K40</f>
        <v>144540</v>
      </c>
      <c r="U34" s="47"/>
      <c r="V34" s="30"/>
      <c r="W34" s="30"/>
    </row>
    <row r="37" spans="1:16" ht="15.75" thickBot="1">
      <c r="A37" s="26" t="s">
        <v>78</v>
      </c>
      <c r="I37" s="26" t="s">
        <v>79</v>
      </c>
      <c r="P37" s="26" t="s">
        <v>80</v>
      </c>
    </row>
    <row r="38" spans="1:21" ht="12.75">
      <c r="A38" s="48"/>
      <c r="B38" s="49"/>
      <c r="C38" s="49"/>
      <c r="D38" s="53"/>
      <c r="E38" s="54" t="s">
        <v>81</v>
      </c>
      <c r="F38" s="55"/>
      <c r="G38" s="49"/>
      <c r="H38" s="117"/>
      <c r="I38" s="49"/>
      <c r="J38" s="49"/>
      <c r="K38" s="53"/>
      <c r="L38" s="54" t="s">
        <v>81</v>
      </c>
      <c r="M38" s="55"/>
      <c r="N38" s="49"/>
      <c r="O38" s="117"/>
      <c r="P38" s="48"/>
      <c r="Q38" s="49"/>
      <c r="R38" s="53"/>
      <c r="S38" s="54" t="s">
        <v>81</v>
      </c>
      <c r="T38" s="55"/>
      <c r="U38" s="50"/>
    </row>
    <row r="39" spans="1:21" ht="12.75">
      <c r="A39" s="43"/>
      <c r="B39" s="30"/>
      <c r="C39" s="30"/>
      <c r="D39" s="10" t="s">
        <v>4</v>
      </c>
      <c r="E39" s="10" t="s">
        <v>82</v>
      </c>
      <c r="F39" s="10" t="s">
        <v>83</v>
      </c>
      <c r="G39" s="30"/>
      <c r="H39" s="118"/>
      <c r="I39" s="30"/>
      <c r="J39" s="30"/>
      <c r="K39" s="10" t="s">
        <v>4</v>
      </c>
      <c r="L39" s="10" t="s">
        <v>82</v>
      </c>
      <c r="M39" s="10" t="s">
        <v>83</v>
      </c>
      <c r="N39" s="30"/>
      <c r="O39" s="118"/>
      <c r="P39" s="43"/>
      <c r="Q39" s="30"/>
      <c r="R39" s="10" t="s">
        <v>4</v>
      </c>
      <c r="S39" s="10" t="s">
        <v>82</v>
      </c>
      <c r="T39" s="10" t="s">
        <v>83</v>
      </c>
      <c r="U39" s="44"/>
    </row>
    <row r="40" spans="1:21" ht="12.75">
      <c r="A40" s="43" t="s">
        <v>84</v>
      </c>
      <c r="B40" s="30"/>
      <c r="C40" s="30"/>
      <c r="D40" s="31">
        <f>'Comparison Sizing'!C35</f>
        <v>1213.7931034482758</v>
      </c>
      <c r="E40" s="30"/>
      <c r="F40" s="31"/>
      <c r="G40" s="30"/>
      <c r="H40" s="118"/>
      <c r="I40" s="30"/>
      <c r="J40" s="30"/>
      <c r="K40" s="31">
        <f>'Comparison Sizing'!G35</f>
        <v>1158.6206896551723</v>
      </c>
      <c r="L40" s="30"/>
      <c r="M40" s="31"/>
      <c r="N40" s="30"/>
      <c r="O40" s="118"/>
      <c r="P40" s="43"/>
      <c r="Q40" s="30"/>
      <c r="R40" s="31">
        <f>'Comparison Sizing'!K35</f>
        <v>1195.4022988505747</v>
      </c>
      <c r="S40" s="30"/>
      <c r="T40" s="31"/>
      <c r="U40" s="44"/>
    </row>
    <row r="41" spans="1:21" ht="12.75">
      <c r="A41" s="43" t="s">
        <v>85</v>
      </c>
      <c r="B41" s="30"/>
      <c r="C41" s="30"/>
      <c r="D41" s="31">
        <f>'Comparison Sizing'!C34</f>
        <v>1056</v>
      </c>
      <c r="E41" s="30">
        <f>'Input Data'!C37</f>
        <v>70</v>
      </c>
      <c r="F41" s="31">
        <f>D41*E41*365/100</f>
        <v>269808</v>
      </c>
      <c r="G41" s="30"/>
      <c r="H41" s="118"/>
      <c r="I41" s="30"/>
      <c r="J41" s="30"/>
      <c r="K41" s="31">
        <f>'Comparison Sizing'!G34</f>
        <v>1008</v>
      </c>
      <c r="L41" s="30">
        <f>'Input Data'!G37</f>
        <v>70</v>
      </c>
      <c r="M41" s="31">
        <f>K41*L41*365/100</f>
        <v>257544</v>
      </c>
      <c r="N41" s="30"/>
      <c r="O41" s="118"/>
      <c r="P41" s="43"/>
      <c r="Q41" s="30"/>
      <c r="R41" s="31">
        <f>'Comparison Sizing'!K34</f>
        <v>1040</v>
      </c>
      <c r="S41" s="30">
        <f>'Input Data'!K37</f>
        <v>70</v>
      </c>
      <c r="T41" s="31">
        <f>R41*S41*365/100</f>
        <v>265720</v>
      </c>
      <c r="U41" s="44"/>
    </row>
    <row r="42" spans="1:21" ht="12.75">
      <c r="A42" s="43" t="s">
        <v>86</v>
      </c>
      <c r="B42" s="30"/>
      <c r="C42" s="30"/>
      <c r="D42" s="31">
        <f>2*'Comparison Sizing'!C22</f>
        <v>44</v>
      </c>
      <c r="E42" s="30"/>
      <c r="F42" s="31"/>
      <c r="G42" s="30"/>
      <c r="H42" s="118"/>
      <c r="I42" s="30"/>
      <c r="J42" s="30"/>
      <c r="K42" s="31">
        <f>2*'Comparison Sizing'!G22</f>
        <v>36</v>
      </c>
      <c r="L42" s="30"/>
      <c r="M42" s="31"/>
      <c r="N42" s="30"/>
      <c r="O42" s="118"/>
      <c r="P42" s="43"/>
      <c r="Q42" s="30"/>
      <c r="R42" s="31">
        <f>2*'Comparison Sizing'!K22</f>
        <v>52</v>
      </c>
      <c r="S42" s="30"/>
      <c r="T42" s="31"/>
      <c r="U42" s="44"/>
    </row>
    <row r="43" spans="1:21" ht="12.75">
      <c r="A43" s="43"/>
      <c r="B43" s="30"/>
      <c r="C43" s="30"/>
      <c r="D43" s="30"/>
      <c r="E43" s="30"/>
      <c r="F43" s="30"/>
      <c r="G43" s="30"/>
      <c r="H43" s="118"/>
      <c r="I43" s="30"/>
      <c r="J43" s="30"/>
      <c r="K43" s="30"/>
      <c r="L43" s="30"/>
      <c r="M43" s="30"/>
      <c r="N43" s="30"/>
      <c r="O43" s="118"/>
      <c r="P43" s="43"/>
      <c r="Q43" s="30"/>
      <c r="R43" s="30"/>
      <c r="S43" s="30"/>
      <c r="T43" s="30"/>
      <c r="U43" s="44"/>
    </row>
    <row r="44" spans="1:21" ht="12.75">
      <c r="A44" s="43"/>
      <c r="B44" s="30"/>
      <c r="C44" s="30"/>
      <c r="D44" s="13" t="s">
        <v>87</v>
      </c>
      <c r="E44" s="30"/>
      <c r="F44" s="30"/>
      <c r="G44" s="30"/>
      <c r="H44" s="118"/>
      <c r="I44" s="30"/>
      <c r="J44" s="30"/>
      <c r="K44" s="13" t="s">
        <v>87</v>
      </c>
      <c r="L44" s="30"/>
      <c r="M44" s="30"/>
      <c r="N44" s="30"/>
      <c r="O44" s="118"/>
      <c r="P44" s="43"/>
      <c r="Q44" s="30"/>
      <c r="R44" s="13" t="s">
        <v>87</v>
      </c>
      <c r="S44" s="30"/>
      <c r="T44" s="30"/>
      <c r="U44" s="44"/>
    </row>
    <row r="45" spans="1:21" ht="12.75">
      <c r="A45" s="56" t="s">
        <v>87</v>
      </c>
      <c r="B45" s="1"/>
      <c r="C45" s="1"/>
      <c r="D45" s="10" t="s">
        <v>88</v>
      </c>
      <c r="E45" s="10" t="s">
        <v>89</v>
      </c>
      <c r="F45" s="10" t="s">
        <v>90</v>
      </c>
      <c r="G45" s="30"/>
      <c r="H45" s="118"/>
      <c r="I45" s="1"/>
      <c r="J45" s="1"/>
      <c r="K45" s="10" t="s">
        <v>88</v>
      </c>
      <c r="L45" s="10" t="s">
        <v>89</v>
      </c>
      <c r="M45" s="10" t="s">
        <v>90</v>
      </c>
      <c r="N45" s="30"/>
      <c r="O45" s="118"/>
      <c r="P45" s="57"/>
      <c r="Q45" s="1"/>
      <c r="R45" s="10" t="s">
        <v>88</v>
      </c>
      <c r="S45" s="10" t="s">
        <v>89</v>
      </c>
      <c r="T45" s="10" t="s">
        <v>90</v>
      </c>
      <c r="U45" s="44"/>
    </row>
    <row r="46" spans="1:21" ht="12.75">
      <c r="A46" s="43" t="s">
        <v>68</v>
      </c>
      <c r="B46" s="30"/>
      <c r="C46" s="30"/>
      <c r="D46" s="45">
        <f>B18</f>
        <v>621000</v>
      </c>
      <c r="E46" s="45">
        <f>D46/D40</f>
        <v>511.6193181818182</v>
      </c>
      <c r="F46" s="45">
        <f>D46/D42</f>
        <v>14113.636363636364</v>
      </c>
      <c r="G46" s="30"/>
      <c r="H46" s="118"/>
      <c r="I46" s="30"/>
      <c r="J46" s="30"/>
      <c r="K46" s="45">
        <f>K18</f>
        <v>534000</v>
      </c>
      <c r="L46" s="45">
        <f>K46/K40</f>
        <v>460.89285714285717</v>
      </c>
      <c r="M46" s="45">
        <f>K46/K42</f>
        <v>14833.333333333334</v>
      </c>
      <c r="N46" s="30"/>
      <c r="O46" s="118"/>
      <c r="P46" s="43"/>
      <c r="Q46" s="30"/>
      <c r="R46" s="45">
        <f>R18</f>
        <v>701000</v>
      </c>
      <c r="S46" s="45">
        <f>R46/R40</f>
        <v>586.4134615384615</v>
      </c>
      <c r="T46" s="45">
        <f>R46/R42</f>
        <v>13480.76923076923</v>
      </c>
      <c r="U46" s="44"/>
    </row>
    <row r="47" spans="1:21" ht="12.75">
      <c r="A47" s="57" t="s">
        <v>60</v>
      </c>
      <c r="B47" s="1"/>
      <c r="C47" s="1"/>
      <c r="D47" s="35">
        <f>B25</f>
        <v>308000</v>
      </c>
      <c r="E47" s="35">
        <f>D47/D40</f>
        <v>253.75</v>
      </c>
      <c r="F47" s="35">
        <f>D47/D42</f>
        <v>7000</v>
      </c>
      <c r="G47" s="30"/>
      <c r="H47" s="118"/>
      <c r="I47" s="1"/>
      <c r="J47" s="1"/>
      <c r="K47" s="35">
        <f>K25</f>
        <v>252000</v>
      </c>
      <c r="L47" s="35">
        <f>K47/K40</f>
        <v>217.50000000000003</v>
      </c>
      <c r="M47" s="35">
        <f>K47/K42</f>
        <v>7000</v>
      </c>
      <c r="N47" s="30"/>
      <c r="O47" s="118"/>
      <c r="P47" s="57"/>
      <c r="Q47" s="1"/>
      <c r="R47" s="35">
        <f>R25</f>
        <v>364000</v>
      </c>
      <c r="S47" s="35">
        <f>R47/R40</f>
        <v>304.5</v>
      </c>
      <c r="T47" s="35">
        <f>R47/R42</f>
        <v>7000</v>
      </c>
      <c r="U47" s="44"/>
    </row>
    <row r="48" spans="1:21" ht="12.75">
      <c r="A48" s="43" t="s">
        <v>91</v>
      </c>
      <c r="B48" s="30"/>
      <c r="C48" s="30"/>
      <c r="D48" s="45">
        <f>D46+D47</f>
        <v>929000</v>
      </c>
      <c r="E48" s="45">
        <f>E46+E47</f>
        <v>765.3693181818182</v>
      </c>
      <c r="F48" s="45">
        <f>F46+F47</f>
        <v>21113.636363636364</v>
      </c>
      <c r="G48" s="30"/>
      <c r="H48" s="118"/>
      <c r="I48" s="30"/>
      <c r="J48" s="30"/>
      <c r="K48" s="45">
        <f>K46+K47</f>
        <v>786000</v>
      </c>
      <c r="L48" s="45">
        <f>L46+L47</f>
        <v>678.3928571428572</v>
      </c>
      <c r="M48" s="45">
        <f>M46+M47</f>
        <v>21833.333333333336</v>
      </c>
      <c r="N48" s="30"/>
      <c r="O48" s="118"/>
      <c r="P48" s="43"/>
      <c r="Q48" s="30"/>
      <c r="R48" s="45">
        <f>R46+R47</f>
        <v>1065000</v>
      </c>
      <c r="S48" s="45">
        <f>S46+S47</f>
        <v>890.9134615384615</v>
      </c>
      <c r="T48" s="45">
        <f>T46+T47</f>
        <v>20480.76923076923</v>
      </c>
      <c r="U48" s="44"/>
    </row>
    <row r="49" spans="1:21" ht="12.75">
      <c r="A49" s="43"/>
      <c r="B49" s="30"/>
      <c r="C49" s="30"/>
      <c r="D49" s="30"/>
      <c r="E49" s="30"/>
      <c r="F49" s="30"/>
      <c r="G49" s="30"/>
      <c r="H49" s="118"/>
      <c r="I49" s="30"/>
      <c r="J49" s="30"/>
      <c r="K49" s="30"/>
      <c r="L49" s="30"/>
      <c r="M49" s="30"/>
      <c r="N49" s="30"/>
      <c r="O49" s="118"/>
      <c r="P49" s="43"/>
      <c r="Q49" s="30"/>
      <c r="R49" s="30"/>
      <c r="S49" s="30"/>
      <c r="T49" s="30"/>
      <c r="U49" s="44"/>
    </row>
    <row r="50" spans="1:21" ht="12.75">
      <c r="A50" s="43"/>
      <c r="B50" s="30"/>
      <c r="C50" s="30"/>
      <c r="D50" s="13" t="s">
        <v>92</v>
      </c>
      <c r="E50" s="13" t="s">
        <v>92</v>
      </c>
      <c r="F50" s="30"/>
      <c r="G50" s="30"/>
      <c r="H50" s="118"/>
      <c r="I50" s="30"/>
      <c r="J50" s="30"/>
      <c r="K50" s="13" t="s">
        <v>92</v>
      </c>
      <c r="L50" s="13" t="s">
        <v>92</v>
      </c>
      <c r="M50" s="30"/>
      <c r="N50" s="30"/>
      <c r="O50" s="118"/>
      <c r="P50" s="43"/>
      <c r="Q50" s="30"/>
      <c r="R50" s="13" t="s">
        <v>92</v>
      </c>
      <c r="S50" s="13" t="s">
        <v>92</v>
      </c>
      <c r="T50" s="30"/>
      <c r="U50" s="44"/>
    </row>
    <row r="51" spans="1:21" ht="12.75">
      <c r="A51" s="56" t="s">
        <v>67</v>
      </c>
      <c r="B51" s="1"/>
      <c r="C51" s="1"/>
      <c r="D51" s="10" t="s">
        <v>88</v>
      </c>
      <c r="E51" s="10" t="s">
        <v>89</v>
      </c>
      <c r="F51" s="10" t="s">
        <v>90</v>
      </c>
      <c r="G51" s="37" t="s">
        <v>93</v>
      </c>
      <c r="H51" s="119"/>
      <c r="I51" s="1"/>
      <c r="J51" s="1"/>
      <c r="K51" s="10" t="s">
        <v>88</v>
      </c>
      <c r="L51" s="10" t="s">
        <v>89</v>
      </c>
      <c r="M51" s="10" t="s">
        <v>90</v>
      </c>
      <c r="N51" s="37" t="s">
        <v>93</v>
      </c>
      <c r="O51" s="118"/>
      <c r="P51" s="57"/>
      <c r="Q51" s="1"/>
      <c r="R51" s="10" t="s">
        <v>88</v>
      </c>
      <c r="S51" s="10" t="s">
        <v>89</v>
      </c>
      <c r="T51" s="10" t="s">
        <v>90</v>
      </c>
      <c r="U51" s="58" t="s">
        <v>93</v>
      </c>
    </row>
    <row r="52" spans="1:21" ht="12.75">
      <c r="A52" s="43" t="s">
        <v>68</v>
      </c>
      <c r="B52" s="30"/>
      <c r="C52" s="30"/>
      <c r="D52" s="45">
        <f>D22</f>
        <v>77549.56350327103</v>
      </c>
      <c r="E52" s="31">
        <f>D52/D40</f>
        <v>63.89026538621761</v>
      </c>
      <c r="F52" s="45">
        <f>D52/D42</f>
        <v>1762.490079619796</v>
      </c>
      <c r="G52" s="36">
        <f>D52/$F$41</f>
        <v>0.28742499667641813</v>
      </c>
      <c r="H52" s="120"/>
      <c r="I52" s="30"/>
      <c r="J52" s="30"/>
      <c r="K52" s="45">
        <f>M22</f>
        <v>66685.1319013635</v>
      </c>
      <c r="L52" s="31">
        <f>K52/K40</f>
        <v>57.55561979581969</v>
      </c>
      <c r="M52" s="45">
        <f>K52/K42</f>
        <v>1852.3647750378748</v>
      </c>
      <c r="N52" s="36">
        <f>K52/M$41</f>
        <v>0.25892714216352736</v>
      </c>
      <c r="O52" s="118"/>
      <c r="P52" s="43"/>
      <c r="Q52" s="30"/>
      <c r="R52" s="45">
        <f>T22</f>
        <v>87539.84543605956</v>
      </c>
      <c r="S52" s="31">
        <f>R52/R40</f>
        <v>73.23044762439598</v>
      </c>
      <c r="T52" s="45">
        <f>R52/R42</f>
        <v>1683.4585660780685</v>
      </c>
      <c r="U52" s="59">
        <f>R52/T$41</f>
        <v>0.32944394639492536</v>
      </c>
    </row>
    <row r="53" spans="1:21" ht="12.75">
      <c r="A53" s="57" t="s">
        <v>60</v>
      </c>
      <c r="B53" s="1"/>
      <c r="C53" s="1"/>
      <c r="D53" s="35">
        <f>D29</f>
        <v>59907.40908936065</v>
      </c>
      <c r="E53" s="27">
        <f>D53/D40</f>
        <v>49.35553589748463</v>
      </c>
      <c r="F53" s="35">
        <f>D53/D42</f>
        <v>1361.5320247581965</v>
      </c>
      <c r="G53" s="60">
        <f>D53/$F$41</f>
        <v>0.22203718603362632</v>
      </c>
      <c r="H53" s="120"/>
      <c r="I53" s="1"/>
      <c r="J53" s="1"/>
      <c r="K53" s="35">
        <f>M29</f>
        <v>49015.152891295074</v>
      </c>
      <c r="L53" s="27">
        <f>K53/K40</f>
        <v>42.304745054986824</v>
      </c>
      <c r="M53" s="35">
        <f>K53/K42</f>
        <v>1361.5320247581965</v>
      </c>
      <c r="N53" s="60">
        <f>K53/M$41</f>
        <v>0.19031758802882254</v>
      </c>
      <c r="O53" s="118"/>
      <c r="P53" s="57"/>
      <c r="Q53" s="1"/>
      <c r="R53" s="35">
        <f>T29</f>
        <v>70799.66528742624</v>
      </c>
      <c r="S53" s="27">
        <f>R53/R40</f>
        <v>59.22664307698157</v>
      </c>
      <c r="T53" s="35">
        <f>R53/R42</f>
        <v>1361.532024758197</v>
      </c>
      <c r="U53" s="60">
        <f>R53/T$41</f>
        <v>0.2664446232403516</v>
      </c>
    </row>
    <row r="54" spans="1:21" ht="12.75">
      <c r="A54" s="43" t="s">
        <v>91</v>
      </c>
      <c r="B54" s="30"/>
      <c r="C54" s="30"/>
      <c r="D54" s="45">
        <f>D52+D53</f>
        <v>137456.97259263168</v>
      </c>
      <c r="E54" s="31">
        <f>E52+E53</f>
        <v>113.24580128370224</v>
      </c>
      <c r="F54" s="45">
        <f>F52+F53</f>
        <v>3124.0221043779925</v>
      </c>
      <c r="G54" s="36">
        <f>D54/$F$41</f>
        <v>0.5094621827100445</v>
      </c>
      <c r="H54" s="120"/>
      <c r="I54" s="30"/>
      <c r="J54" s="30"/>
      <c r="K54" s="45">
        <f>K52+K53</f>
        <v>115700.28479265857</v>
      </c>
      <c r="L54" s="31">
        <f>L52+L53</f>
        <v>99.86036485080652</v>
      </c>
      <c r="M54" s="45">
        <f>M52+M53</f>
        <v>3213.8967997960713</v>
      </c>
      <c r="N54" s="36">
        <f>K54/M$41</f>
        <v>0.4492447301923499</v>
      </c>
      <c r="O54" s="118"/>
      <c r="P54" s="43"/>
      <c r="Q54" s="30"/>
      <c r="R54" s="45">
        <f>R52+R53</f>
        <v>158339.5107234858</v>
      </c>
      <c r="S54" s="31">
        <f>S52+S53</f>
        <v>132.45709070137755</v>
      </c>
      <c r="T54" s="45">
        <f>T52+T53</f>
        <v>3044.9905908362653</v>
      </c>
      <c r="U54" s="59">
        <f>R54/T$41</f>
        <v>0.5958885696352769</v>
      </c>
    </row>
    <row r="55" spans="1:21" ht="12.75">
      <c r="A55" s="43"/>
      <c r="B55" s="30"/>
      <c r="C55" s="30"/>
      <c r="D55" s="30"/>
      <c r="E55" s="45"/>
      <c r="F55" s="30"/>
      <c r="G55" s="36"/>
      <c r="H55" s="118"/>
      <c r="I55" s="30"/>
      <c r="J55" s="30"/>
      <c r="K55" s="30"/>
      <c r="L55" s="45"/>
      <c r="M55" s="30"/>
      <c r="N55" s="36"/>
      <c r="O55" s="118"/>
      <c r="P55" s="43"/>
      <c r="Q55" s="30"/>
      <c r="R55" s="30"/>
      <c r="S55" s="45"/>
      <c r="T55" s="30"/>
      <c r="U55" s="59"/>
    </row>
    <row r="56" spans="1:21" ht="12.75">
      <c r="A56" s="57" t="s">
        <v>94</v>
      </c>
      <c r="B56" s="1"/>
      <c r="C56" s="1"/>
      <c r="D56" s="35">
        <f>D34</f>
        <v>170820</v>
      </c>
      <c r="E56" s="27">
        <f>D56/D40</f>
        <v>140.73238636363638</v>
      </c>
      <c r="F56" s="27">
        <f>D56/D42</f>
        <v>3882.2727272727275</v>
      </c>
      <c r="G56" s="60">
        <f>D56/$F$41</f>
        <v>0.6331168831168831</v>
      </c>
      <c r="H56" s="120"/>
      <c r="I56" s="1"/>
      <c r="J56" s="1"/>
      <c r="K56" s="35">
        <f>M34</f>
        <v>197100</v>
      </c>
      <c r="L56" s="27">
        <f>K56/K40</f>
        <v>170.11607142857144</v>
      </c>
      <c r="M56" s="27">
        <f>K56/K42</f>
        <v>5475</v>
      </c>
      <c r="N56" s="60">
        <f>K56/M$41</f>
        <v>0.7653061224489796</v>
      </c>
      <c r="O56" s="118"/>
      <c r="P56" s="57"/>
      <c r="Q56" s="1"/>
      <c r="R56" s="35">
        <f>T34</f>
        <v>144540</v>
      </c>
      <c r="S56" s="27">
        <f>R56/R40</f>
        <v>120.91326923076923</v>
      </c>
      <c r="T56" s="27">
        <f>R56/R42</f>
        <v>2779.6153846153848</v>
      </c>
      <c r="U56" s="60">
        <f>R56/T$41</f>
        <v>0.5439560439560439</v>
      </c>
    </row>
    <row r="57" spans="1:21" ht="13.5" thickBot="1">
      <c r="A57" s="46" t="s">
        <v>95</v>
      </c>
      <c r="B57" s="32"/>
      <c r="C57" s="32"/>
      <c r="D57" s="52">
        <f>D54+D56</f>
        <v>308276.9725926317</v>
      </c>
      <c r="E57" s="33">
        <f>E54+E56</f>
        <v>253.97818764733861</v>
      </c>
      <c r="F57" s="52">
        <f>F54+F56</f>
        <v>7006.29483165072</v>
      </c>
      <c r="G57" s="139">
        <f>D57/$F$41</f>
        <v>1.1425790658269277</v>
      </c>
      <c r="H57" s="121"/>
      <c r="I57" s="32"/>
      <c r="J57" s="32"/>
      <c r="K57" s="52">
        <f>K54+K56</f>
        <v>312800.2847926586</v>
      </c>
      <c r="L57" s="33">
        <f>L54+L56</f>
        <v>269.97643627937794</v>
      </c>
      <c r="M57" s="52">
        <f>M54+M56</f>
        <v>8688.896799796072</v>
      </c>
      <c r="N57" s="139">
        <f>K57/M$41</f>
        <v>1.2145508526413296</v>
      </c>
      <c r="O57" s="122"/>
      <c r="P57" s="46"/>
      <c r="Q57" s="32"/>
      <c r="R57" s="52">
        <f>R54+R56</f>
        <v>302879.5107234858</v>
      </c>
      <c r="S57" s="33">
        <f>S54+S56</f>
        <v>253.37035993214678</v>
      </c>
      <c r="T57" s="52">
        <f>T54+T56</f>
        <v>5824.60597545165</v>
      </c>
      <c r="U57" s="139">
        <f>R57/T$41</f>
        <v>1.139844613591321</v>
      </c>
    </row>
    <row r="59" spans="7:21" ht="12.75">
      <c r="G59" t="str">
        <f>E4</f>
        <v>D-22</v>
      </c>
      <c r="N59" t="str">
        <f>N4</f>
        <v>D-18</v>
      </c>
      <c r="U59" t="str">
        <f>U4</f>
        <v>D-26</v>
      </c>
    </row>
  </sheetData>
  <sheetProtection/>
  <printOptions/>
  <pageMargins left="0.75" right="0.75" top="1" bottom="0.75" header="0.5" footer="0.5"/>
  <pageSetup fitToHeight="1" fitToWidth="1" horizontalDpi="300" verticalDpi="300" orientation="landscape" scale="63" r:id="rId2"/>
  <headerFooter alignWithMargins="0">
    <oddFooter>&amp;R&amp;F, &amp;A
Dairy Management at Virginia Tech
M. L. McGilliard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PageLayoutView="0" workbookViewId="0" topLeftCell="A2">
      <selection activeCell="C4" sqref="C4"/>
    </sheetView>
  </sheetViews>
  <sheetFormatPr defaultColWidth="9.140625" defaultRowHeight="12.75"/>
  <cols>
    <col min="1" max="1" width="12.00390625" style="0" customWidth="1"/>
    <col min="2" max="2" width="11.7109375" style="0" customWidth="1"/>
    <col min="3" max="3" width="12.00390625" style="0" customWidth="1"/>
    <col min="4" max="4" width="3.421875" style="0" customWidth="1"/>
    <col min="5" max="5" width="7.8515625" style="0" customWidth="1"/>
    <col min="8" max="8" width="2.8515625" style="0" customWidth="1"/>
    <col min="9" max="9" width="10.8515625" style="0" customWidth="1"/>
    <col min="10" max="10" width="10.28125" style="0" customWidth="1"/>
    <col min="11" max="11" width="15.8515625" style="0" customWidth="1"/>
    <col min="12" max="12" width="10.28125" style="0" customWidth="1"/>
    <col min="13" max="13" width="10.00390625" style="0" customWidth="1"/>
  </cols>
  <sheetData>
    <row r="1" ht="17.25">
      <c r="A1" s="23" t="s">
        <v>96</v>
      </c>
    </row>
    <row r="2" ht="17.25">
      <c r="A2" s="23"/>
    </row>
    <row r="3" spans="1:13" s="25" customFormat="1" ht="15">
      <c r="A3" s="25" t="s">
        <v>97</v>
      </c>
      <c r="C3" s="143">
        <v>22</v>
      </c>
      <c r="E3" s="9" t="s">
        <v>11</v>
      </c>
      <c r="F3" s="9"/>
      <c r="G3" s="153"/>
      <c r="H3" s="153"/>
      <c r="I3" s="154" t="s">
        <v>98</v>
      </c>
      <c r="J3" s="153"/>
      <c r="K3" s="9" t="s">
        <v>92</v>
      </c>
      <c r="L3" s="155" t="s">
        <v>99</v>
      </c>
      <c r="M3" s="155" t="s">
        <v>100</v>
      </c>
    </row>
    <row r="4" spans="1:13" ht="15">
      <c r="A4" s="25" t="s">
        <v>101</v>
      </c>
      <c r="B4" s="25"/>
      <c r="C4" s="146">
        <v>128649</v>
      </c>
      <c r="E4" s="9" t="s">
        <v>102</v>
      </c>
      <c r="F4" s="9" t="s">
        <v>103</v>
      </c>
      <c r="G4" s="9" t="s">
        <v>104</v>
      </c>
      <c r="H4" s="9"/>
      <c r="I4" s="156" t="s">
        <v>105</v>
      </c>
      <c r="J4" s="9" t="s">
        <v>92</v>
      </c>
      <c r="K4" s="155" t="s">
        <v>106</v>
      </c>
      <c r="L4" s="155" t="s">
        <v>100</v>
      </c>
      <c r="M4" s="155" t="s">
        <v>107</v>
      </c>
    </row>
    <row r="5" spans="1:13" ht="15">
      <c r="A5" s="25"/>
      <c r="B5" s="25"/>
      <c r="C5" s="143"/>
      <c r="E5" s="10" t="s">
        <v>108</v>
      </c>
      <c r="F5" s="10" t="s">
        <v>100</v>
      </c>
      <c r="G5" s="10" t="s">
        <v>100</v>
      </c>
      <c r="H5" s="10"/>
      <c r="I5" s="157" t="s">
        <v>100</v>
      </c>
      <c r="J5" s="10" t="s">
        <v>109</v>
      </c>
      <c r="K5" s="10" t="s">
        <v>110</v>
      </c>
      <c r="L5" s="10" t="s">
        <v>110</v>
      </c>
      <c r="M5" s="10" t="s">
        <v>111</v>
      </c>
    </row>
    <row r="6" spans="5:13" ht="12.75">
      <c r="E6">
        <v>2</v>
      </c>
      <c r="F6" s="141">
        <f>E6/$C$8</f>
        <v>0.6666666666666666</v>
      </c>
      <c r="G6" s="141">
        <f>F6*VLOOKUP($C$8,TimeChart,2)</f>
        <v>2.6666666666666665</v>
      </c>
      <c r="H6" s="141"/>
      <c r="I6" s="149">
        <f>G6*$C$3*2</f>
        <v>117.33333333333333</v>
      </c>
      <c r="J6" s="28">
        <f>(E6+$C$7)*$C$9*$C$11*365</f>
        <v>30660</v>
      </c>
      <c r="K6" s="147">
        <f>($C$4+J6)/I6</f>
        <v>1357.7471590909092</v>
      </c>
      <c r="L6" s="148">
        <f>K6/365</f>
        <v>3.719855230386053</v>
      </c>
      <c r="M6" s="148">
        <f>L6/($C$10/100)</f>
        <v>5.314078900551505</v>
      </c>
    </row>
    <row r="7" spans="1:13" ht="12.75">
      <c r="A7" s="91" t="s">
        <v>112</v>
      </c>
      <c r="B7" s="92"/>
      <c r="C7" s="114">
        <v>1.5</v>
      </c>
      <c r="E7">
        <f>E6+1</f>
        <v>3</v>
      </c>
      <c r="F7" s="141">
        <f aca="true" t="shared" si="0" ref="F7:F28">E7/$C$8</f>
        <v>1</v>
      </c>
      <c r="G7" s="141">
        <f aca="true" t="shared" si="1" ref="G7:G28">F7*VLOOKUP($C$8,TimeChart,2)</f>
        <v>4</v>
      </c>
      <c r="H7" s="141"/>
      <c r="I7" s="149">
        <f aca="true" t="shared" si="2" ref="I7:I28">G7*$C$3*2</f>
        <v>176</v>
      </c>
      <c r="J7" s="28">
        <f aca="true" t="shared" si="3" ref="J7:J28">(E7+$C$7)*$C$9*$C$11*365</f>
        <v>39420</v>
      </c>
      <c r="K7" s="147">
        <f aca="true" t="shared" si="4" ref="K7:K28">($C$4+J7)/I7</f>
        <v>954.9375</v>
      </c>
      <c r="L7" s="148">
        <f aca="true" t="shared" si="5" ref="L7:L28">K7/365</f>
        <v>2.6162671232876713</v>
      </c>
      <c r="M7" s="148">
        <f aca="true" t="shared" si="6" ref="M7:M28">L7/($C$10/100)</f>
        <v>3.7375244618395307</v>
      </c>
    </row>
    <row r="8" spans="1:13" ht="12.75">
      <c r="A8" s="94" t="s">
        <v>3</v>
      </c>
      <c r="B8" s="30"/>
      <c r="C8" s="142">
        <v>3</v>
      </c>
      <c r="E8">
        <f aca="true" t="shared" si="7" ref="E8:E28">E7+1</f>
        <v>4</v>
      </c>
      <c r="F8" s="141">
        <f t="shared" si="0"/>
        <v>1.3333333333333333</v>
      </c>
      <c r="G8" s="141">
        <f t="shared" si="1"/>
        <v>5.333333333333333</v>
      </c>
      <c r="H8" s="141"/>
      <c r="I8" s="149">
        <f t="shared" si="2"/>
        <v>234.66666666666666</v>
      </c>
      <c r="J8" s="28">
        <f t="shared" si="3"/>
        <v>48180</v>
      </c>
      <c r="K8" s="147">
        <f t="shared" si="4"/>
        <v>753.5326704545455</v>
      </c>
      <c r="L8" s="148">
        <f t="shared" si="5"/>
        <v>2.0644730697384808</v>
      </c>
      <c r="M8" s="148">
        <f t="shared" si="6"/>
        <v>2.949247242483544</v>
      </c>
    </row>
    <row r="9" spans="1:13" ht="12.75">
      <c r="A9" s="158" t="s">
        <v>113</v>
      </c>
      <c r="B9" s="30"/>
      <c r="C9" s="142">
        <v>2</v>
      </c>
      <c r="E9">
        <f t="shared" si="7"/>
        <v>5</v>
      </c>
      <c r="F9" s="141">
        <f t="shared" si="0"/>
        <v>1.6666666666666667</v>
      </c>
      <c r="G9" s="141">
        <f t="shared" si="1"/>
        <v>6.666666666666667</v>
      </c>
      <c r="H9" s="141"/>
      <c r="I9" s="149">
        <f t="shared" si="2"/>
        <v>293.33333333333337</v>
      </c>
      <c r="J9" s="28">
        <f t="shared" si="3"/>
        <v>56940</v>
      </c>
      <c r="K9" s="147">
        <f t="shared" si="4"/>
        <v>632.6897727272726</v>
      </c>
      <c r="L9" s="148">
        <f t="shared" si="5"/>
        <v>1.733396637608966</v>
      </c>
      <c r="M9" s="148">
        <f t="shared" si="6"/>
        <v>2.4762809108699515</v>
      </c>
    </row>
    <row r="10" spans="1:13" ht="12.75">
      <c r="A10" s="158" t="s">
        <v>114</v>
      </c>
      <c r="B10" s="30"/>
      <c r="C10" s="142">
        <v>70</v>
      </c>
      <c r="E10">
        <f t="shared" si="7"/>
        <v>6</v>
      </c>
      <c r="F10" s="141">
        <f t="shared" si="0"/>
        <v>2</v>
      </c>
      <c r="G10" s="141">
        <f t="shared" si="1"/>
        <v>8</v>
      </c>
      <c r="H10" s="141"/>
      <c r="I10" s="149">
        <f t="shared" si="2"/>
        <v>352</v>
      </c>
      <c r="J10" s="28">
        <f t="shared" si="3"/>
        <v>65700</v>
      </c>
      <c r="K10" s="147">
        <f t="shared" si="4"/>
        <v>552.1278409090909</v>
      </c>
      <c r="L10" s="148">
        <f t="shared" si="5"/>
        <v>1.51267901618929</v>
      </c>
      <c r="M10" s="148">
        <f t="shared" si="6"/>
        <v>2.1609700231275575</v>
      </c>
    </row>
    <row r="11" spans="1:13" ht="12.75">
      <c r="A11" s="144" t="s">
        <v>115</v>
      </c>
      <c r="B11" s="1"/>
      <c r="C11" s="115">
        <v>12</v>
      </c>
      <c r="E11">
        <f t="shared" si="7"/>
        <v>7</v>
      </c>
      <c r="F11" s="141">
        <f t="shared" si="0"/>
        <v>2.3333333333333335</v>
      </c>
      <c r="G11" s="141">
        <f t="shared" si="1"/>
        <v>9.333333333333334</v>
      </c>
      <c r="H11" s="141"/>
      <c r="I11" s="149">
        <f t="shared" si="2"/>
        <v>410.6666666666667</v>
      </c>
      <c r="J11" s="28">
        <f t="shared" si="3"/>
        <v>74460</v>
      </c>
      <c r="K11" s="147">
        <f t="shared" si="4"/>
        <v>494.58360389610385</v>
      </c>
      <c r="L11" s="148">
        <f t="shared" si="5"/>
        <v>1.3550235723180928</v>
      </c>
      <c r="M11" s="148">
        <f t="shared" si="6"/>
        <v>1.9357479604544183</v>
      </c>
    </row>
    <row r="12" spans="5:13" ht="12.75">
      <c r="E12">
        <f t="shared" si="7"/>
        <v>8</v>
      </c>
      <c r="F12" s="141">
        <f t="shared" si="0"/>
        <v>2.6666666666666665</v>
      </c>
      <c r="G12" s="141">
        <f t="shared" si="1"/>
        <v>10.666666666666666</v>
      </c>
      <c r="H12" s="141"/>
      <c r="I12" s="149">
        <f t="shared" si="2"/>
        <v>469.3333333333333</v>
      </c>
      <c r="J12" s="28">
        <f t="shared" si="3"/>
        <v>83220</v>
      </c>
      <c r="K12" s="147">
        <f t="shared" si="4"/>
        <v>451.4254261363637</v>
      </c>
      <c r="L12" s="148">
        <f t="shared" si="5"/>
        <v>1.236781989414695</v>
      </c>
      <c r="M12" s="148">
        <f t="shared" si="6"/>
        <v>1.7668314134495644</v>
      </c>
    </row>
    <row r="13" spans="1:13" ht="12.75">
      <c r="A13" s="2" t="s">
        <v>12</v>
      </c>
      <c r="B13" s="3"/>
      <c r="C13" s="4" t="s">
        <v>13</v>
      </c>
      <c r="E13">
        <f t="shared" si="7"/>
        <v>9</v>
      </c>
      <c r="F13" s="141">
        <f t="shared" si="0"/>
        <v>3</v>
      </c>
      <c r="G13" s="141">
        <f t="shared" si="1"/>
        <v>12</v>
      </c>
      <c r="H13" s="141"/>
      <c r="I13" s="149">
        <f t="shared" si="2"/>
        <v>528</v>
      </c>
      <c r="J13" s="28">
        <f t="shared" si="3"/>
        <v>91980</v>
      </c>
      <c r="K13" s="147">
        <f t="shared" si="4"/>
        <v>417.85795454545456</v>
      </c>
      <c r="L13" s="148">
        <f t="shared" si="5"/>
        <v>1.1448163138231633</v>
      </c>
      <c r="M13" s="148">
        <f t="shared" si="6"/>
        <v>1.6354518768902333</v>
      </c>
    </row>
    <row r="14" spans="1:13" ht="12.75">
      <c r="A14" s="5" t="s">
        <v>15</v>
      </c>
      <c r="B14" s="6" t="s">
        <v>20</v>
      </c>
      <c r="C14" s="7" t="s">
        <v>21</v>
      </c>
      <c r="E14">
        <f t="shared" si="7"/>
        <v>10</v>
      </c>
      <c r="F14" s="141">
        <f t="shared" si="0"/>
        <v>3.3333333333333335</v>
      </c>
      <c r="G14" s="141">
        <f t="shared" si="1"/>
        <v>13.333333333333334</v>
      </c>
      <c r="H14" s="141"/>
      <c r="I14" s="149">
        <f t="shared" si="2"/>
        <v>586.6666666666667</v>
      </c>
      <c r="J14" s="28">
        <f t="shared" si="3"/>
        <v>100740</v>
      </c>
      <c r="K14" s="147">
        <f t="shared" si="4"/>
        <v>391.00397727272724</v>
      </c>
      <c r="L14" s="148">
        <f t="shared" si="5"/>
        <v>1.0712437733499376</v>
      </c>
      <c r="M14" s="148">
        <f t="shared" si="6"/>
        <v>1.5303482476427681</v>
      </c>
    </row>
    <row r="15" spans="1:13" ht="12.75">
      <c r="A15" s="5" t="s">
        <v>22</v>
      </c>
      <c r="B15" s="6" t="s">
        <v>23</v>
      </c>
      <c r="C15" s="7" t="s">
        <v>24</v>
      </c>
      <c r="E15">
        <f t="shared" si="7"/>
        <v>11</v>
      </c>
      <c r="F15" s="141">
        <f t="shared" si="0"/>
        <v>3.6666666666666665</v>
      </c>
      <c r="G15" s="141">
        <f t="shared" si="1"/>
        <v>14.666666666666666</v>
      </c>
      <c r="H15" s="141"/>
      <c r="I15" s="149">
        <f t="shared" si="2"/>
        <v>645.3333333333333</v>
      </c>
      <c r="J15" s="28">
        <f t="shared" si="3"/>
        <v>109500</v>
      </c>
      <c r="K15" s="147">
        <f t="shared" si="4"/>
        <v>369.0325413223141</v>
      </c>
      <c r="L15" s="148">
        <f t="shared" si="5"/>
        <v>1.011048058417299</v>
      </c>
      <c r="M15" s="148">
        <f t="shared" si="6"/>
        <v>1.44435436916757</v>
      </c>
    </row>
    <row r="16" spans="1:13" ht="12.75">
      <c r="A16" s="2">
        <v>2</v>
      </c>
      <c r="B16" s="14">
        <v>3.5</v>
      </c>
      <c r="C16" s="15">
        <v>60</v>
      </c>
      <c r="E16">
        <f t="shared" si="7"/>
        <v>12</v>
      </c>
      <c r="F16" s="141">
        <f t="shared" si="0"/>
        <v>4</v>
      </c>
      <c r="G16" s="141">
        <f t="shared" si="1"/>
        <v>16</v>
      </c>
      <c r="H16" s="141"/>
      <c r="I16" s="149">
        <f t="shared" si="2"/>
        <v>704</v>
      </c>
      <c r="J16" s="28">
        <f t="shared" si="3"/>
        <v>118260</v>
      </c>
      <c r="K16" s="147">
        <f t="shared" si="4"/>
        <v>350.7230113636364</v>
      </c>
      <c r="L16" s="148">
        <f t="shared" si="5"/>
        <v>0.9608849626400997</v>
      </c>
      <c r="M16" s="148">
        <f t="shared" si="6"/>
        <v>1.372692803771571</v>
      </c>
    </row>
    <row r="17" spans="1:13" ht="12.75">
      <c r="A17" s="5">
        <v>3</v>
      </c>
      <c r="B17" s="140">
        <v>4</v>
      </c>
      <c r="C17" s="16">
        <v>45</v>
      </c>
      <c r="E17">
        <f t="shared" si="7"/>
        <v>13</v>
      </c>
      <c r="F17" s="141">
        <f t="shared" si="0"/>
        <v>4.333333333333333</v>
      </c>
      <c r="G17" s="141">
        <f t="shared" si="1"/>
        <v>17.333333333333332</v>
      </c>
      <c r="H17" s="141"/>
      <c r="I17" s="149">
        <f t="shared" si="2"/>
        <v>762.6666666666666</v>
      </c>
      <c r="J17" s="28">
        <f t="shared" si="3"/>
        <v>127020</v>
      </c>
      <c r="K17" s="147">
        <f t="shared" si="4"/>
        <v>335.23033216783216</v>
      </c>
      <c r="L17" s="148">
        <f t="shared" si="5"/>
        <v>0.9184392662132388</v>
      </c>
      <c r="M17" s="148">
        <f t="shared" si="6"/>
        <v>1.3120560945903412</v>
      </c>
    </row>
    <row r="18" spans="1:13" ht="12.75">
      <c r="A18" s="8">
        <v>4</v>
      </c>
      <c r="B18" s="17">
        <v>5.5</v>
      </c>
      <c r="C18" s="18">
        <v>30</v>
      </c>
      <c r="E18">
        <f t="shared" si="7"/>
        <v>14</v>
      </c>
      <c r="F18" s="141">
        <f t="shared" si="0"/>
        <v>4.666666666666667</v>
      </c>
      <c r="G18" s="141">
        <f t="shared" si="1"/>
        <v>18.666666666666668</v>
      </c>
      <c r="H18" s="141"/>
      <c r="I18" s="149">
        <f t="shared" si="2"/>
        <v>821.3333333333334</v>
      </c>
      <c r="J18" s="28">
        <f t="shared" si="3"/>
        <v>135780</v>
      </c>
      <c r="K18" s="147">
        <f t="shared" si="4"/>
        <v>321.95089285714283</v>
      </c>
      <c r="L18" s="148">
        <f t="shared" si="5"/>
        <v>0.8820572407045009</v>
      </c>
      <c r="M18" s="148">
        <f t="shared" si="6"/>
        <v>1.2600817724350013</v>
      </c>
    </row>
    <row r="19" spans="5:13" ht="12.75">
      <c r="E19">
        <f t="shared" si="7"/>
        <v>15</v>
      </c>
      <c r="F19" s="141">
        <f t="shared" si="0"/>
        <v>5</v>
      </c>
      <c r="G19" s="141">
        <f t="shared" si="1"/>
        <v>20</v>
      </c>
      <c r="H19" s="141"/>
      <c r="I19" s="149">
        <f t="shared" si="2"/>
        <v>880</v>
      </c>
      <c r="J19" s="28">
        <f t="shared" si="3"/>
        <v>144540</v>
      </c>
      <c r="K19" s="147">
        <f t="shared" si="4"/>
        <v>310.44204545454545</v>
      </c>
      <c r="L19" s="148">
        <f t="shared" si="5"/>
        <v>0.8505261519302615</v>
      </c>
      <c r="M19" s="148">
        <f t="shared" si="6"/>
        <v>1.2150373599003736</v>
      </c>
    </row>
    <row r="20" spans="1:13" ht="12.75">
      <c r="A20" s="91" t="s">
        <v>53</v>
      </c>
      <c r="B20" s="92"/>
      <c r="C20" s="159">
        <f>B17*C3*2</f>
        <v>176</v>
      </c>
      <c r="E20">
        <f t="shared" si="7"/>
        <v>16</v>
      </c>
      <c r="F20" s="141">
        <f t="shared" si="0"/>
        <v>5.333333333333333</v>
      </c>
      <c r="G20" s="141">
        <f t="shared" si="1"/>
        <v>21.333333333333332</v>
      </c>
      <c r="H20" s="141"/>
      <c r="I20" s="149">
        <f t="shared" si="2"/>
        <v>938.6666666666666</v>
      </c>
      <c r="J20" s="28">
        <f t="shared" si="3"/>
        <v>153300</v>
      </c>
      <c r="K20" s="147">
        <f t="shared" si="4"/>
        <v>300.37180397727275</v>
      </c>
      <c r="L20" s="148">
        <f t="shared" si="5"/>
        <v>0.8229364492528021</v>
      </c>
      <c r="M20" s="148">
        <f t="shared" si="6"/>
        <v>1.1756234989325745</v>
      </c>
    </row>
    <row r="21" spans="1:13" ht="12.75">
      <c r="A21" s="96" t="s">
        <v>116</v>
      </c>
      <c r="B21" s="1"/>
      <c r="C21" s="160">
        <f>C20/C9</f>
        <v>88</v>
      </c>
      <c r="E21">
        <f>E20+1</f>
        <v>17</v>
      </c>
      <c r="F21" s="141">
        <f t="shared" si="0"/>
        <v>5.666666666666667</v>
      </c>
      <c r="G21" s="141">
        <f t="shared" si="1"/>
        <v>22.666666666666668</v>
      </c>
      <c r="H21" s="141"/>
      <c r="I21" s="149">
        <f t="shared" si="2"/>
        <v>997.3333333333334</v>
      </c>
      <c r="J21" s="28">
        <f t="shared" si="3"/>
        <v>162060</v>
      </c>
      <c r="K21" s="147">
        <f t="shared" si="4"/>
        <v>291.48629679144386</v>
      </c>
      <c r="L21" s="148">
        <f t="shared" si="5"/>
        <v>0.7985925939491613</v>
      </c>
      <c r="M21" s="148">
        <f t="shared" si="6"/>
        <v>1.1408465627845161</v>
      </c>
    </row>
    <row r="22" spans="1:13" ht="12.75">
      <c r="A22" s="30"/>
      <c r="B22" s="30"/>
      <c r="C22" s="145"/>
      <c r="E22">
        <f t="shared" si="7"/>
        <v>18</v>
      </c>
      <c r="F22" s="141">
        <f t="shared" si="0"/>
        <v>6</v>
      </c>
      <c r="G22" s="141">
        <f t="shared" si="1"/>
        <v>24</v>
      </c>
      <c r="H22" s="141"/>
      <c r="I22" s="149">
        <f t="shared" si="2"/>
        <v>1056</v>
      </c>
      <c r="J22" s="28">
        <f t="shared" si="3"/>
        <v>170820</v>
      </c>
      <c r="K22" s="147">
        <f t="shared" si="4"/>
        <v>283.5880681818182</v>
      </c>
      <c r="L22" s="148">
        <f t="shared" si="5"/>
        <v>0.7769536114570361</v>
      </c>
      <c r="M22" s="148">
        <f t="shared" si="6"/>
        <v>1.109933730652909</v>
      </c>
    </row>
    <row r="23" spans="1:13" ht="12.75">
      <c r="A23" s="30"/>
      <c r="B23" s="30"/>
      <c r="C23" s="30"/>
      <c r="E23">
        <f t="shared" si="7"/>
        <v>19</v>
      </c>
      <c r="F23" s="141">
        <f t="shared" si="0"/>
        <v>6.333333333333333</v>
      </c>
      <c r="G23" s="141">
        <f t="shared" si="1"/>
        <v>25.333333333333332</v>
      </c>
      <c r="H23" s="141"/>
      <c r="I23" s="149">
        <f t="shared" si="2"/>
        <v>1114.6666666666665</v>
      </c>
      <c r="J23" s="28">
        <f t="shared" si="3"/>
        <v>179580</v>
      </c>
      <c r="K23" s="147">
        <f t="shared" si="4"/>
        <v>276.5212320574163</v>
      </c>
      <c r="L23" s="148">
        <f t="shared" si="5"/>
        <v>0.757592416595661</v>
      </c>
      <c r="M23" s="148">
        <f t="shared" si="6"/>
        <v>1.0822748808509444</v>
      </c>
    </row>
    <row r="24" spans="5:13" ht="12.75">
      <c r="E24">
        <f t="shared" si="7"/>
        <v>20</v>
      </c>
      <c r="F24" s="141">
        <f t="shared" si="0"/>
        <v>6.666666666666667</v>
      </c>
      <c r="G24" s="141">
        <f t="shared" si="1"/>
        <v>26.666666666666668</v>
      </c>
      <c r="H24" s="141"/>
      <c r="I24" s="149">
        <f t="shared" si="2"/>
        <v>1173.3333333333335</v>
      </c>
      <c r="J24" s="28">
        <f t="shared" si="3"/>
        <v>188340</v>
      </c>
      <c r="K24" s="147">
        <f t="shared" si="4"/>
        <v>270.1610795454545</v>
      </c>
      <c r="L24" s="148">
        <f t="shared" si="5"/>
        <v>0.7401673412204234</v>
      </c>
      <c r="M24" s="148">
        <f t="shared" si="6"/>
        <v>1.0573819160291764</v>
      </c>
    </row>
    <row r="25" spans="5:13" ht="12.75">
      <c r="E25">
        <f t="shared" si="7"/>
        <v>21</v>
      </c>
      <c r="F25" s="141">
        <f t="shared" si="0"/>
        <v>7</v>
      </c>
      <c r="G25" s="141">
        <f t="shared" si="1"/>
        <v>28</v>
      </c>
      <c r="H25" s="141"/>
      <c r="I25" s="149">
        <f t="shared" si="2"/>
        <v>1232</v>
      </c>
      <c r="J25" s="28">
        <f t="shared" si="3"/>
        <v>197100</v>
      </c>
      <c r="K25" s="147">
        <f t="shared" si="4"/>
        <v>264.40665584415586</v>
      </c>
      <c r="L25" s="148">
        <f t="shared" si="5"/>
        <v>0.7244017968333037</v>
      </c>
      <c r="M25" s="148">
        <f t="shared" si="6"/>
        <v>1.0348597097618626</v>
      </c>
    </row>
    <row r="26" spans="5:13" ht="12.75">
      <c r="E26">
        <f>E25+1</f>
        <v>22</v>
      </c>
      <c r="F26" s="141">
        <f t="shared" si="0"/>
        <v>7.333333333333333</v>
      </c>
      <c r="G26" s="141">
        <f t="shared" si="1"/>
        <v>29.333333333333332</v>
      </c>
      <c r="H26" s="141"/>
      <c r="I26" s="149">
        <f t="shared" si="2"/>
        <v>1290.6666666666665</v>
      </c>
      <c r="J26" s="28">
        <f t="shared" si="3"/>
        <v>205860</v>
      </c>
      <c r="K26" s="147">
        <f t="shared" si="4"/>
        <v>259.17536157024796</v>
      </c>
      <c r="L26" s="148">
        <f t="shared" si="5"/>
        <v>0.710069483754104</v>
      </c>
      <c r="M26" s="148">
        <f t="shared" si="6"/>
        <v>1.0143849767915771</v>
      </c>
    </row>
    <row r="27" spans="5:13" ht="12.75">
      <c r="E27">
        <f t="shared" si="7"/>
        <v>23</v>
      </c>
      <c r="F27" s="141">
        <f t="shared" si="0"/>
        <v>7.666666666666667</v>
      </c>
      <c r="G27" s="141">
        <f t="shared" si="1"/>
        <v>30.666666666666668</v>
      </c>
      <c r="H27" s="141"/>
      <c r="I27" s="149">
        <f t="shared" si="2"/>
        <v>1349.3333333333335</v>
      </c>
      <c r="J27" s="28">
        <f t="shared" si="3"/>
        <v>214620</v>
      </c>
      <c r="K27" s="147">
        <f t="shared" si="4"/>
        <v>254.39896245059285</v>
      </c>
      <c r="L27" s="148">
        <f t="shared" si="5"/>
        <v>0.6969834587687476</v>
      </c>
      <c r="M27" s="148">
        <f t="shared" si="6"/>
        <v>0.9956906553839252</v>
      </c>
    </row>
    <row r="28" spans="5:13" ht="12.75">
      <c r="E28" s="1">
        <f t="shared" si="7"/>
        <v>24</v>
      </c>
      <c r="F28" s="151">
        <f t="shared" si="0"/>
        <v>8</v>
      </c>
      <c r="G28" s="151">
        <f t="shared" si="1"/>
        <v>32</v>
      </c>
      <c r="H28" s="151"/>
      <c r="I28" s="150">
        <f t="shared" si="2"/>
        <v>1408</v>
      </c>
      <c r="J28" s="161">
        <f t="shared" si="3"/>
        <v>223380</v>
      </c>
      <c r="K28" s="35">
        <f t="shared" si="4"/>
        <v>250.0205965909091</v>
      </c>
      <c r="L28" s="152">
        <f t="shared" si="5"/>
        <v>0.6849879358655043</v>
      </c>
      <c r="M28" s="152">
        <f t="shared" si="6"/>
        <v>0.9785541940935777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8" r:id="rId1"/>
  <headerFooter alignWithMargins="0">
    <oddFooter>&amp;R&amp;8&amp;F, &amp;A
Dairy Management at Virginia Tech
M. L. McGilliard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K12" sqref="K12"/>
    </sheetView>
  </sheetViews>
  <sheetFormatPr defaultColWidth="9.140625" defaultRowHeight="12.75"/>
  <cols>
    <col min="2" max="2" width="9.8515625" style="0" customWidth="1"/>
    <col min="3" max="3" width="10.28125" style="0" customWidth="1"/>
  </cols>
  <sheetData>
    <row r="1" spans="1:9" s="26" customFormat="1" ht="15">
      <c r="A1" s="26" t="str">
        <f>'Comparison Sizing'!A3</f>
        <v>Alternative 1</v>
      </c>
      <c r="E1" s="26" t="str">
        <f>'Comparison Sizing'!G3</f>
        <v>Alternative 2</v>
      </c>
      <c r="I1" s="26" t="str">
        <f>'Comparison Sizing'!K3</f>
        <v>Alternative 3</v>
      </c>
    </row>
    <row r="3" spans="1:11" ht="12.75">
      <c r="A3" s="2" t="s">
        <v>12</v>
      </c>
      <c r="B3" s="3"/>
      <c r="C3" s="4" t="s">
        <v>13</v>
      </c>
      <c r="E3" s="2" t="s">
        <v>12</v>
      </c>
      <c r="F3" s="3"/>
      <c r="G3" s="4" t="s">
        <v>13</v>
      </c>
      <c r="I3" s="2" t="s">
        <v>12</v>
      </c>
      <c r="J3" s="3"/>
      <c r="K3" s="4" t="s">
        <v>13</v>
      </c>
    </row>
    <row r="4" spans="1:11" ht="12.75">
      <c r="A4" s="5" t="s">
        <v>15</v>
      </c>
      <c r="B4" s="6" t="s">
        <v>20</v>
      </c>
      <c r="C4" s="7" t="s">
        <v>21</v>
      </c>
      <c r="E4" s="5" t="s">
        <v>15</v>
      </c>
      <c r="F4" s="6" t="s">
        <v>20</v>
      </c>
      <c r="G4" s="7" t="s">
        <v>21</v>
      </c>
      <c r="I4" s="5" t="s">
        <v>15</v>
      </c>
      <c r="J4" s="6" t="s">
        <v>20</v>
      </c>
      <c r="K4" s="7" t="s">
        <v>21</v>
      </c>
    </row>
    <row r="5" spans="1:11" ht="12.75">
      <c r="A5" s="5" t="s">
        <v>22</v>
      </c>
      <c r="B5" s="6" t="s">
        <v>23</v>
      </c>
      <c r="C5" s="7" t="s">
        <v>24</v>
      </c>
      <c r="E5" s="5" t="s">
        <v>22</v>
      </c>
      <c r="F5" s="6" t="s">
        <v>23</v>
      </c>
      <c r="G5" s="7" t="s">
        <v>24</v>
      </c>
      <c r="I5" s="5" t="s">
        <v>22</v>
      </c>
      <c r="J5" s="6" t="s">
        <v>23</v>
      </c>
      <c r="K5" s="7" t="s">
        <v>24</v>
      </c>
    </row>
    <row r="6" spans="1:11" ht="12.75">
      <c r="A6" s="2">
        <v>2</v>
      </c>
      <c r="B6" s="14">
        <v>3.5</v>
      </c>
      <c r="C6" s="15">
        <v>60</v>
      </c>
      <c r="E6" s="2">
        <v>2</v>
      </c>
      <c r="F6" s="14">
        <v>3.5</v>
      </c>
      <c r="G6" s="15">
        <v>60</v>
      </c>
      <c r="I6" s="2">
        <v>2</v>
      </c>
      <c r="J6" s="14">
        <v>3.5</v>
      </c>
      <c r="K6" s="15">
        <v>60</v>
      </c>
    </row>
    <row r="7" spans="1:11" ht="12.75">
      <c r="A7" s="5">
        <v>3</v>
      </c>
      <c r="B7" s="140">
        <v>4</v>
      </c>
      <c r="C7" s="16">
        <v>45</v>
      </c>
      <c r="E7" s="5">
        <v>3</v>
      </c>
      <c r="F7" s="140">
        <v>4</v>
      </c>
      <c r="G7" s="16">
        <v>45</v>
      </c>
      <c r="I7" s="5">
        <v>3</v>
      </c>
      <c r="J7" s="140">
        <v>4</v>
      </c>
      <c r="K7" s="16">
        <v>45</v>
      </c>
    </row>
    <row r="8" spans="1:11" ht="12.75">
      <c r="A8" s="8">
        <v>4</v>
      </c>
      <c r="B8" s="17">
        <v>5.5</v>
      </c>
      <c r="C8" s="18">
        <v>30</v>
      </c>
      <c r="E8" s="8">
        <v>4</v>
      </c>
      <c r="F8" s="17">
        <v>5.5</v>
      </c>
      <c r="G8" s="18">
        <v>30</v>
      </c>
      <c r="I8" s="8">
        <v>4</v>
      </c>
      <c r="J8" s="17">
        <v>5.5</v>
      </c>
      <c r="K8" s="18">
        <v>30</v>
      </c>
    </row>
    <row r="10" spans="1:11" ht="12.75">
      <c r="A10" s="91" t="s">
        <v>117</v>
      </c>
      <c r="B10" s="92"/>
      <c r="C10" s="93">
        <v>87</v>
      </c>
      <c r="E10" s="91" t="s">
        <v>117</v>
      </c>
      <c r="F10" s="92"/>
      <c r="G10" s="93">
        <v>87</v>
      </c>
      <c r="I10" s="91" t="s">
        <v>117</v>
      </c>
      <c r="J10" s="92"/>
      <c r="K10" s="93">
        <v>87</v>
      </c>
    </row>
    <row r="11" spans="1:11" ht="12.75">
      <c r="A11" s="94" t="s">
        <v>118</v>
      </c>
      <c r="B11" s="30"/>
      <c r="C11" s="95">
        <v>2</v>
      </c>
      <c r="E11" s="94" t="s">
        <v>118</v>
      </c>
      <c r="F11" s="30"/>
      <c r="G11" s="95">
        <v>2</v>
      </c>
      <c r="I11" s="94" t="s">
        <v>118</v>
      </c>
      <c r="J11" s="30"/>
      <c r="K11" s="95">
        <v>2</v>
      </c>
    </row>
    <row r="12" spans="1:11" ht="12.75">
      <c r="A12" s="96" t="s">
        <v>119</v>
      </c>
      <c r="B12" s="1"/>
      <c r="C12" s="97">
        <f>INT('Comparison Sizing'!C22/10)</f>
        <v>2</v>
      </c>
      <c r="E12" s="96" t="s">
        <v>119</v>
      </c>
      <c r="F12" s="1"/>
      <c r="G12" s="97">
        <f>INT('Comparison Sizing'!G22/10)</f>
        <v>1</v>
      </c>
      <c r="I12" s="96" t="s">
        <v>119</v>
      </c>
      <c r="J12" s="1"/>
      <c r="K12" s="97">
        <f>INT('Comparison Sizing'!K22/10)</f>
        <v>2</v>
      </c>
    </row>
    <row r="15" spans="1:11" ht="12.75">
      <c r="A15" s="91" t="s">
        <v>120</v>
      </c>
      <c r="B15" s="92"/>
      <c r="C15" s="98">
        <v>10000</v>
      </c>
      <c r="D15" s="30"/>
      <c r="E15" s="91" t="s">
        <v>120</v>
      </c>
      <c r="F15" s="92"/>
      <c r="G15" s="98">
        <v>10000</v>
      </c>
      <c r="H15" s="30"/>
      <c r="I15" s="91" t="s">
        <v>120</v>
      </c>
      <c r="J15" s="92"/>
      <c r="K15" s="98">
        <v>10000</v>
      </c>
    </row>
    <row r="16" spans="1:11" ht="12.75">
      <c r="A16" s="94" t="s">
        <v>121</v>
      </c>
      <c r="B16" s="30"/>
      <c r="C16" s="99">
        <v>7000</v>
      </c>
      <c r="D16" s="30"/>
      <c r="E16" s="94" t="s">
        <v>121</v>
      </c>
      <c r="F16" s="30"/>
      <c r="G16" s="99">
        <v>7000</v>
      </c>
      <c r="H16" s="30"/>
      <c r="I16" s="94" t="s">
        <v>121</v>
      </c>
      <c r="J16" s="30"/>
      <c r="K16" s="99">
        <v>7000</v>
      </c>
    </row>
    <row r="17" spans="1:11" ht="12.75">
      <c r="A17" s="94" t="s">
        <v>122</v>
      </c>
      <c r="B17" s="30" t="s">
        <v>123</v>
      </c>
      <c r="C17" s="99">
        <v>14000</v>
      </c>
      <c r="D17" s="30"/>
      <c r="E17" s="94" t="s">
        <v>122</v>
      </c>
      <c r="F17" s="30" t="s">
        <v>123</v>
      </c>
      <c r="G17" s="99">
        <v>14000</v>
      </c>
      <c r="H17" s="30"/>
      <c r="I17" s="94" t="s">
        <v>122</v>
      </c>
      <c r="J17" s="30" t="s">
        <v>123</v>
      </c>
      <c r="K17" s="99">
        <v>14000</v>
      </c>
    </row>
    <row r="18" spans="1:11" ht="12.75">
      <c r="A18" s="100" t="s">
        <v>124</v>
      </c>
      <c r="B18" s="30" t="s">
        <v>125</v>
      </c>
      <c r="C18" s="99">
        <v>7</v>
      </c>
      <c r="D18" s="30"/>
      <c r="E18" s="100" t="s">
        <v>124</v>
      </c>
      <c r="F18" s="30" t="s">
        <v>125</v>
      </c>
      <c r="G18" s="99">
        <v>7</v>
      </c>
      <c r="H18" s="30"/>
      <c r="I18" s="100" t="s">
        <v>124</v>
      </c>
      <c r="J18" s="30" t="s">
        <v>125</v>
      </c>
      <c r="K18" s="99">
        <v>7</v>
      </c>
    </row>
    <row r="19" spans="1:11" ht="12.75">
      <c r="A19" s="94" t="s">
        <v>62</v>
      </c>
      <c r="B19" s="30"/>
      <c r="C19" s="99">
        <v>20000</v>
      </c>
      <c r="D19" s="30"/>
      <c r="E19" s="94" t="s">
        <v>62</v>
      </c>
      <c r="F19" s="30"/>
      <c r="G19" s="99">
        <v>20000</v>
      </c>
      <c r="H19" s="30"/>
      <c r="I19" s="94" t="s">
        <v>62</v>
      </c>
      <c r="J19" s="30"/>
      <c r="K19" s="99">
        <v>20000</v>
      </c>
    </row>
    <row r="20" spans="1:11" ht="12.75">
      <c r="A20" s="94" t="s">
        <v>63</v>
      </c>
      <c r="B20" s="30"/>
      <c r="C20" s="99">
        <v>15000</v>
      </c>
      <c r="D20" s="30"/>
      <c r="E20" s="94" t="s">
        <v>63</v>
      </c>
      <c r="F20" s="30"/>
      <c r="G20" s="99">
        <v>15000</v>
      </c>
      <c r="H20" s="30"/>
      <c r="I20" s="94" t="s">
        <v>63</v>
      </c>
      <c r="J20" s="30"/>
      <c r="K20" s="99">
        <v>15000</v>
      </c>
    </row>
    <row r="21" spans="1:11" ht="12.75">
      <c r="A21" s="94" t="s">
        <v>64</v>
      </c>
      <c r="B21" s="30"/>
      <c r="C21" s="99">
        <v>20000</v>
      </c>
      <c r="D21" s="30"/>
      <c r="E21" s="94" t="s">
        <v>64</v>
      </c>
      <c r="F21" s="30"/>
      <c r="G21" s="99">
        <v>20000</v>
      </c>
      <c r="H21" s="30"/>
      <c r="I21" s="94" t="s">
        <v>64</v>
      </c>
      <c r="J21" s="30"/>
      <c r="K21" s="99">
        <v>20000</v>
      </c>
    </row>
    <row r="22" spans="1:11" ht="12.75">
      <c r="A22" s="94" t="s">
        <v>126</v>
      </c>
      <c r="B22" s="30"/>
      <c r="C22" s="99">
        <v>80000</v>
      </c>
      <c r="D22" s="30"/>
      <c r="E22" s="94" t="s">
        <v>126</v>
      </c>
      <c r="F22" s="30"/>
      <c r="G22" s="99">
        <v>80000</v>
      </c>
      <c r="H22" s="30"/>
      <c r="I22" s="94" t="s">
        <v>126</v>
      </c>
      <c r="J22" s="30"/>
      <c r="K22" s="99">
        <v>80000</v>
      </c>
    </row>
    <row r="23" spans="1:11" ht="12.75">
      <c r="A23" s="94" t="s">
        <v>127</v>
      </c>
      <c r="B23" s="30"/>
      <c r="C23" s="99">
        <v>9000</v>
      </c>
      <c r="D23" s="30"/>
      <c r="E23" s="94" t="s">
        <v>127</v>
      </c>
      <c r="F23" s="30"/>
      <c r="G23" s="99">
        <v>9000</v>
      </c>
      <c r="H23" s="30"/>
      <c r="I23" s="94" t="s">
        <v>127</v>
      </c>
      <c r="J23" s="30"/>
      <c r="K23" s="99">
        <v>9000</v>
      </c>
    </row>
    <row r="24" spans="1:11" ht="12.75">
      <c r="A24" s="100" t="s">
        <v>124</v>
      </c>
      <c r="B24" s="30" t="s">
        <v>90</v>
      </c>
      <c r="C24" s="99">
        <v>2000</v>
      </c>
      <c r="D24" s="30"/>
      <c r="E24" s="100" t="s">
        <v>124</v>
      </c>
      <c r="F24" s="30" t="s">
        <v>90</v>
      </c>
      <c r="G24" s="99">
        <v>2000</v>
      </c>
      <c r="H24" s="30"/>
      <c r="I24" s="100" t="s">
        <v>124</v>
      </c>
      <c r="J24" s="30" t="s">
        <v>90</v>
      </c>
      <c r="K24" s="99">
        <v>2000</v>
      </c>
    </row>
    <row r="25" spans="1:11" ht="12.75">
      <c r="A25" s="101" t="s">
        <v>124</v>
      </c>
      <c r="B25" s="1" t="s">
        <v>89</v>
      </c>
      <c r="C25" s="102">
        <v>70</v>
      </c>
      <c r="D25" s="30"/>
      <c r="E25" s="101" t="s">
        <v>124</v>
      </c>
      <c r="F25" s="1" t="s">
        <v>89</v>
      </c>
      <c r="G25" s="102">
        <v>70</v>
      </c>
      <c r="H25" s="30"/>
      <c r="I25" s="101" t="s">
        <v>124</v>
      </c>
      <c r="J25" s="1" t="s">
        <v>89</v>
      </c>
      <c r="K25" s="102">
        <v>70</v>
      </c>
    </row>
    <row r="27" spans="1:11" ht="12.75">
      <c r="A27" s="105" t="s">
        <v>128</v>
      </c>
      <c r="B27" s="106"/>
      <c r="C27" s="107">
        <v>5</v>
      </c>
      <c r="D27" s="30"/>
      <c r="E27" s="105" t="s">
        <v>128</v>
      </c>
      <c r="F27" s="106"/>
      <c r="G27" s="107">
        <v>5</v>
      </c>
      <c r="H27" s="30"/>
      <c r="I27" s="105" t="s">
        <v>128</v>
      </c>
      <c r="J27" s="106"/>
      <c r="K27" s="107">
        <v>5</v>
      </c>
    </row>
    <row r="28" spans="1:11" ht="12.75">
      <c r="A28" s="94" t="s">
        <v>129</v>
      </c>
      <c r="B28" s="30"/>
      <c r="C28" s="99">
        <v>15</v>
      </c>
      <c r="D28" s="30"/>
      <c r="E28" s="94" t="s">
        <v>129</v>
      </c>
      <c r="F28" s="30"/>
      <c r="G28" s="99">
        <v>15</v>
      </c>
      <c r="H28" s="30"/>
      <c r="I28" s="94" t="s">
        <v>129</v>
      </c>
      <c r="J28" s="30"/>
      <c r="K28" s="99">
        <v>15</v>
      </c>
    </row>
    <row r="29" spans="1:11" ht="12.75">
      <c r="A29" s="94" t="s">
        <v>130</v>
      </c>
      <c r="B29" s="30"/>
      <c r="C29" s="99">
        <v>1</v>
      </c>
      <c r="D29" s="30"/>
      <c r="E29" s="94" t="s">
        <v>130</v>
      </c>
      <c r="F29" s="30"/>
      <c r="G29" s="99">
        <v>1</v>
      </c>
      <c r="H29" s="30"/>
      <c r="I29" s="94" t="s">
        <v>130</v>
      </c>
      <c r="J29" s="30"/>
      <c r="K29" s="99">
        <v>1</v>
      </c>
    </row>
    <row r="30" spans="1:11" ht="12.75">
      <c r="A30" s="94" t="s">
        <v>131</v>
      </c>
      <c r="B30" s="30"/>
      <c r="C30" s="103">
        <v>3</v>
      </c>
      <c r="D30" s="30"/>
      <c r="E30" s="94" t="s">
        <v>131</v>
      </c>
      <c r="F30" s="30"/>
      <c r="G30" s="103">
        <v>3</v>
      </c>
      <c r="H30" s="30"/>
      <c r="I30" s="94" t="s">
        <v>131</v>
      </c>
      <c r="J30" s="30"/>
      <c r="K30" s="103">
        <v>3</v>
      </c>
    </row>
    <row r="31" spans="1:11" ht="12.75">
      <c r="A31" s="96" t="s">
        <v>132</v>
      </c>
      <c r="B31" s="1"/>
      <c r="C31" s="104">
        <v>1.5</v>
      </c>
      <c r="D31" s="30"/>
      <c r="E31" s="96" t="s">
        <v>132</v>
      </c>
      <c r="F31" s="1"/>
      <c r="G31" s="104">
        <v>1.5</v>
      </c>
      <c r="H31" s="30"/>
      <c r="I31" s="96" t="s">
        <v>132</v>
      </c>
      <c r="J31" s="1"/>
      <c r="K31" s="104">
        <v>1.5</v>
      </c>
    </row>
    <row r="32" spans="1:11" ht="12.75">
      <c r="A32" s="94" t="s">
        <v>133</v>
      </c>
      <c r="B32" s="30"/>
      <c r="C32" s="99">
        <v>10</v>
      </c>
      <c r="D32" s="30"/>
      <c r="E32" s="94" t="s">
        <v>133</v>
      </c>
      <c r="F32" s="30"/>
      <c r="G32" s="99">
        <v>10</v>
      </c>
      <c r="H32" s="30"/>
      <c r="I32" s="94" t="s">
        <v>133</v>
      </c>
      <c r="J32" s="30"/>
      <c r="K32" s="99">
        <v>10</v>
      </c>
    </row>
    <row r="33" spans="1:11" ht="12.75">
      <c r="A33" s="94" t="s">
        <v>134</v>
      </c>
      <c r="B33" s="30"/>
      <c r="C33" s="99">
        <v>0</v>
      </c>
      <c r="D33" s="30"/>
      <c r="E33" s="94" t="s">
        <v>134</v>
      </c>
      <c r="F33" s="30"/>
      <c r="G33" s="99">
        <v>0</v>
      </c>
      <c r="H33" s="30"/>
      <c r="I33" s="94" t="s">
        <v>134</v>
      </c>
      <c r="J33" s="30"/>
      <c r="K33" s="99">
        <v>0</v>
      </c>
    </row>
    <row r="34" spans="1:11" ht="12.75">
      <c r="A34" s="94" t="s">
        <v>135</v>
      </c>
      <c r="B34" s="30"/>
      <c r="C34" s="103">
        <v>5</v>
      </c>
      <c r="D34" s="30"/>
      <c r="E34" s="94" t="s">
        <v>135</v>
      </c>
      <c r="F34" s="30"/>
      <c r="G34" s="103">
        <v>5</v>
      </c>
      <c r="H34" s="30"/>
      <c r="I34" s="94" t="s">
        <v>135</v>
      </c>
      <c r="J34" s="30"/>
      <c r="K34" s="103">
        <v>5</v>
      </c>
    </row>
    <row r="35" spans="1:11" ht="12.75">
      <c r="A35" s="96" t="s">
        <v>136</v>
      </c>
      <c r="B35" s="1"/>
      <c r="C35" s="104">
        <v>1.5</v>
      </c>
      <c r="D35" s="30"/>
      <c r="E35" s="96" t="s">
        <v>136</v>
      </c>
      <c r="F35" s="1"/>
      <c r="G35" s="104">
        <v>1.5</v>
      </c>
      <c r="H35" s="30"/>
      <c r="I35" s="96" t="s">
        <v>136</v>
      </c>
      <c r="J35" s="1"/>
      <c r="K35" s="104">
        <v>1.5</v>
      </c>
    </row>
    <row r="37" spans="1:11" ht="12.75">
      <c r="A37" s="91" t="s">
        <v>137</v>
      </c>
      <c r="B37" s="92"/>
      <c r="C37" s="98">
        <v>70</v>
      </c>
      <c r="D37" s="30"/>
      <c r="E37" s="91" t="s">
        <v>137</v>
      </c>
      <c r="F37" s="92"/>
      <c r="G37" s="98">
        <v>70</v>
      </c>
      <c r="H37" s="30"/>
      <c r="I37" s="91" t="s">
        <v>137</v>
      </c>
      <c r="J37" s="92"/>
      <c r="K37" s="98">
        <v>70</v>
      </c>
    </row>
    <row r="38" spans="1:11" ht="12.75">
      <c r="A38" s="94" t="s">
        <v>138</v>
      </c>
      <c r="B38" s="30"/>
      <c r="C38" s="99">
        <v>110</v>
      </c>
      <c r="D38" s="30"/>
      <c r="E38" s="94" t="s">
        <v>138</v>
      </c>
      <c r="F38" s="30"/>
      <c r="G38" s="99">
        <v>110</v>
      </c>
      <c r="H38" s="30"/>
      <c r="I38" s="94" t="s">
        <v>138</v>
      </c>
      <c r="J38" s="30"/>
      <c r="K38" s="99">
        <v>110</v>
      </c>
    </row>
    <row r="39" spans="1:11" ht="12.75">
      <c r="A39" s="94"/>
      <c r="B39" s="30"/>
      <c r="C39" s="108"/>
      <c r="D39" s="30"/>
      <c r="E39" s="94"/>
      <c r="F39" s="30"/>
      <c r="G39" s="108"/>
      <c r="H39" s="30"/>
      <c r="I39" s="94"/>
      <c r="J39" s="30"/>
      <c r="K39" s="108"/>
    </row>
    <row r="40" spans="1:11" ht="12.75">
      <c r="A40" s="96" t="s">
        <v>139</v>
      </c>
      <c r="B40" s="1"/>
      <c r="C40" s="109">
        <v>12</v>
      </c>
      <c r="D40" s="30"/>
      <c r="E40" s="96" t="s">
        <v>139</v>
      </c>
      <c r="F40" s="1"/>
      <c r="G40" s="109">
        <v>12</v>
      </c>
      <c r="H40" s="30"/>
      <c r="I40" s="96" t="s">
        <v>139</v>
      </c>
      <c r="J40" s="1"/>
      <c r="K40" s="109">
        <v>12</v>
      </c>
    </row>
  </sheetData>
  <sheetProtection/>
  <printOptions/>
  <pageMargins left="0.75" right="0.75" top="0.75" bottom="0.75" header="0.5" footer="0.5"/>
  <pageSetup fitToHeight="1" fitToWidth="1" horizontalDpi="300" verticalDpi="300" orientation="landscape" r:id="rId1"/>
  <headerFooter alignWithMargins="0">
    <oddFooter>&amp;R&amp;8&amp;F, &amp;A
Dairy Management at Virginia Tech
M. L. McGilliard, Revised 4/3/08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 McGilliard</dc:creator>
  <cp:keywords/>
  <dc:description/>
  <cp:lastModifiedBy>Laura</cp:lastModifiedBy>
  <cp:lastPrinted>2004-09-21T18:24:32Z</cp:lastPrinted>
  <dcterms:created xsi:type="dcterms:W3CDTF">1999-11-07T04:02:57Z</dcterms:created>
  <dcterms:modified xsi:type="dcterms:W3CDTF">2017-03-10T15:30:22Z</dcterms:modified>
  <cp:category/>
  <cp:version/>
  <cp:contentType/>
  <cp:contentStatus/>
</cp:coreProperties>
</file>